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7XoaiJ0JmgV7q4gpRbVjhGnbgsWK/hOAWbRMajNQZl2Cef3qThjIL0aaP+vxg42ouwp4rSg16kwxZPK63tM/Tw==" workbookSaltValue="ZN+vvu2cF3oNBbJ3BB1a3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E32" i="20"/>
  <c r="AI32" i="20"/>
  <c r="AM32" i="20"/>
  <c r="I32" i="20"/>
  <c r="Q32" i="20"/>
  <c r="AE32" i="20"/>
  <c r="AZ32" i="20"/>
  <c r="O18" i="11"/>
  <c r="W32" i="20"/>
  <c r="BF17" i="8" l="1"/>
  <c r="T31" i="8"/>
  <c r="AL21" i="11"/>
  <c r="L17" i="14"/>
  <c r="X12" i="17"/>
  <c r="S10" i="14"/>
  <c r="V10" i="14" s="1"/>
  <c r="S18" i="14"/>
  <c r="V18" i="14" s="1"/>
  <c r="R11" i="14"/>
  <c r="R22" i="14"/>
  <c r="U13" i="16"/>
  <c r="P13" i="14"/>
  <c r="R13" i="17"/>
  <c r="S13" i="17" s="1"/>
  <c r="R8" i="9"/>
  <c r="I13" i="14"/>
  <c r="S21" i="14"/>
  <c r="V21" i="14" s="1"/>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AZ18" i="11"/>
  <c r="R10" i="21"/>
  <c r="BG16" i="11"/>
  <c r="BJ25" i="11"/>
  <c r="AZ16" i="11"/>
  <c r="AZ23" i="11" s="1"/>
  <c r="BU22" i="17"/>
  <c r="BW29" i="20"/>
  <c r="BV20" i="16"/>
  <c r="BF20" i="11"/>
  <c r="S16" i="16"/>
  <c r="S23" i="16" s="1"/>
  <c r="BL16" i="11"/>
  <c r="BH21" i="11"/>
  <c r="BK20" i="11"/>
  <c r="BJ10" i="11"/>
  <c r="BK17" i="11"/>
  <c r="BF16" i="11"/>
  <c r="BI22" i="11"/>
  <c r="BI21"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H9" i="16"/>
  <c r="BF13" i="11"/>
  <c r="BG25" i="11"/>
  <c r="BH16" i="16"/>
  <c r="Q18" i="20"/>
  <c r="Q23" i="20" s="1"/>
  <c r="BF28" i="11"/>
  <c r="BF18" i="11"/>
  <c r="BG20" i="11"/>
  <c r="BG22" i="11"/>
  <c r="BK29" i="11"/>
  <c r="AZ19" i="11"/>
  <c r="V12" i="21"/>
  <c r="BK11" i="11"/>
  <c r="AP10" i="21"/>
  <c r="AP21" i="20"/>
  <c r="BH20" i="16"/>
  <c r="BJ11" i="11"/>
  <c r="BH22" i="16"/>
  <c r="BJ20" i="11"/>
  <c r="BH13" i="11"/>
  <c r="BL13" i="11"/>
  <c r="P13" i="11" s="1"/>
  <c r="BH18" i="11"/>
  <c r="BM16" i="11"/>
  <c r="AO28" i="17"/>
  <c r="BU16" i="17"/>
  <c r="BW19" i="20"/>
  <c r="X20" i="16"/>
  <c r="BU10" i="17"/>
  <c r="BW25" i="20"/>
  <c r="U13" i="17"/>
  <c r="BU20" i="17"/>
  <c r="BW22" i="20"/>
  <c r="BV29" i="16"/>
  <c r="S11" i="17"/>
  <c r="BU17" i="17"/>
  <c r="S22" i="17"/>
  <c r="S25" i="17"/>
  <c r="AZ11" i="11"/>
  <c r="P16" i="17"/>
  <c r="P23" i="17" s="1"/>
  <c r="P31" i="17" s="1"/>
  <c r="BL20" i="11"/>
  <c r="BF12" i="11"/>
  <c r="BH25" i="16"/>
  <c r="AZ25" i="11"/>
  <c r="AZ30" i="11" s="1"/>
  <c r="Q16" i="17"/>
  <c r="BM18" i="11"/>
  <c r="BH17" i="11"/>
  <c r="BL22" i="11"/>
  <c r="AQ12" i="21"/>
  <c r="BH25" i="11"/>
  <c r="BK10" i="11"/>
  <c r="L28" i="2"/>
  <c r="X21" i="20"/>
  <c r="L16" i="2"/>
  <c r="L18" i="2"/>
  <c r="X16" i="16"/>
  <c r="X23" i="16" s="1"/>
  <c r="L9" i="2"/>
  <c r="V25" i="16"/>
  <c r="R28" i="14"/>
  <c r="R18" i="14"/>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AQ17" i="11"/>
  <c r="BV30" i="16"/>
  <c r="P25" i="11"/>
  <c r="P12" i="11"/>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<sst xmlns="http://schemas.openxmlformats.org/spreadsheetml/2006/main" count="2682" uniqueCount="1193">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</sst>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kyLMTYhGxdQOjm4Lz1AxuXyJjc7MQyH3+TGFQuliG7iwJzhwXHfX6xPzm1bhCPsZiizBARePyY6EQMYGulNDQ==" saltValue="4m2NbBhh7lZVer/Zi5Pw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33.142241379310342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180</v>
      </c>
      <c r="D17" s="239">
        <f>IF(ISNUMBER(IF(D_I="SI",Datos!I17,Datos!I17+Datos!AC17)),IF(D_I="SI",Datos!I17,Datos!I17+Datos!AC17)," - ")</f>
        <v>180</v>
      </c>
      <c r="E17" s="240">
        <f>IF(ISNUMBER(IF(D_I="SI",Datos!J17,Datos!J17+Datos!AD17)),IF(D_I="SI",Datos!J17,Datos!J17+Datos!AD17)," - ")</f>
        <v>319</v>
      </c>
      <c r="F17" s="240">
        <f>IF(ISNUMBER(IF(D_I="SI",Datos!K17,Datos!K17+Datos!AE17)),IF(D_I="SI",Datos!K17,Datos!K17+Datos!AE17)," - ")</f>
        <v>313</v>
      </c>
      <c r="G17" s="1390" t="str">
        <f>IF(Datos!E17&lt;&gt;"",Datos!E17,Datos!D17)</f>
        <v>04</v>
      </c>
      <c r="H17" s="241">
        <f>IF(ISNUMBER(IF(D_I="SI",Datos!L17,Datos!L17+Datos!AF17)),IF(D_I="SI",Datos!L17,Datos!L17+Datos!AF17)," - ")</f>
        <v>186</v>
      </c>
      <c r="I17" s="1400" t="str">
        <f>IF(ISNUMBER(Datos!AS17/Datos!BM17),Datos!AS17/Datos!BM17," - ")</f>
        <v xml:space="preserve"> - </v>
      </c>
      <c r="J17" s="1401">
        <f>IF(ISNUMBER(Datos!BY17/Datos!CN17),Datos!BY17/Datos!CN17," - ")</f>
        <v>0</v>
      </c>
      <c r="K17" s="244">
        <f t="shared" si="3"/>
        <v>3.3333333333333333E-2</v>
      </c>
      <c r="L17" s="1402">
        <f>IF(ISNUMBER(NºAsuntos!I17/NºAsuntos!G17),(NºAsuntos!I17/NºAsuntos!G17)*11," - ")</f>
        <v>6.536741214057507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26</v>
      </c>
      <c r="F18" s="240">
        <f>IF(ISNUMBER(IF(D_I="SI",Datos!K18,Datos!K18+Datos!AE18)),IF(D_I="SI",Datos!K18,Datos!K18+Datos!AE18)," - ")</f>
        <v>34</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-0.5714285714285714</v>
      </c>
      <c r="L18" s="1402">
        <f>IF(ISNUMBER(NºAsuntos!I18/NºAsuntos!G18),(NºAsuntos!I18/NºAsuntos!G18)*11," - ")</f>
        <v>1.9411764705882355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194</v>
      </c>
      <c r="D23" s="1407">
        <f>SUBTOTAL(9,D16:D22)</f>
        <v>194</v>
      </c>
      <c r="E23" s="1408">
        <f>SUBTOTAL(9,E16:E22)</f>
        <v>345</v>
      </c>
      <c r="F23" s="1408">
        <f>SUBTOTAL(9,F16:F22)</f>
        <v>347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198</v>
      </c>
      <c r="D31" s="1435">
        <f>SUBTOTAL(9,D9:D30)</f>
        <v>198</v>
      </c>
      <c r="E31" s="1436">
        <f>SUBTOTAL(9,E9:E30)</f>
        <v>346</v>
      </c>
      <c r="F31" s="1436">
        <f>SUBTOTAL(9,F9:F30)</f>
        <v>348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JS+IhWsMzihqfW8PxfZhPj1CIut1nNLiNo3yTlx6/VEgklLF0HMwbZrr7OVyUNcqfERbiMrM6x5o1PUbyur9A==" saltValue="ALAMo1Yjo4SDskdOmVVw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LY5eiqXytKXmXVjw0mLtrXooisXyzlH8gdnDiEXEAyiEwY7xPCXb/UvjKxE126jLhZzX4N+/xQIVCLHmkqG/w==" saltValue="GMGRb25cQCOfQ4K8+IIF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1</v>
      </c>
      <c r="L10" s="194">
        <v>4</v>
      </c>
      <c r="M10" s="194">
        <v>0</v>
      </c>
      <c r="N10" s="194">
        <v>0</v>
      </c>
      <c r="O10" s="194">
        <v>0</v>
      </c>
      <c r="P10" s="194">
        <v>2</v>
      </c>
      <c r="Q10" s="194">
        <v>0</v>
      </c>
      <c r="R10" s="194">
        <v>4</v>
      </c>
      <c r="S10" s="194">
        <v>12</v>
      </c>
      <c r="T10" s="194">
        <v>1</v>
      </c>
      <c r="U10" s="194">
        <v>6</v>
      </c>
      <c r="V10" s="194">
        <v>7</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v>
      </c>
      <c r="BA10" s="139">
        <f t="shared" si="0"/>
        <v>6</v>
      </c>
      <c r="BB10" s="139">
        <f t="shared" si="0"/>
        <v>7</v>
      </c>
      <c r="BC10" s="135">
        <f t="shared" si="0"/>
        <v>4</v>
      </c>
      <c r="BD10" s="136">
        <f>IF(ISNUMBER(BA10/AZ10),BA10/AZ10," - ")</f>
        <v>6</v>
      </c>
      <c r="BE10" s="137">
        <f>IF(ISNUMBER(BB10/BA10),BB10/BA10, " - ")</f>
        <v>1.1666666666666667</v>
      </c>
      <c r="BF10" s="137">
        <f>IF(ISNUMBER(BC10/BA10),BC10/BA10, " - ")</f>
        <v>0.66666666666666663</v>
      </c>
      <c r="BG10" s="209">
        <f>IF(ISNUMBER((AY10+AZ10)/BA10),(AY10+AZ10)/BA10," - ")</f>
        <v>2.1666666666666665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727</v>
      </c>
      <c r="J12" s="196">
        <v>186</v>
      </c>
      <c r="K12" s="196">
        <v>218</v>
      </c>
      <c r="L12" s="196">
        <v>695</v>
      </c>
      <c r="M12" s="196">
        <v>60</v>
      </c>
      <c r="N12" s="196">
        <v>73</v>
      </c>
      <c r="O12" s="194">
        <v>111</v>
      </c>
      <c r="P12" s="196">
        <v>93</v>
      </c>
      <c r="Q12" s="196">
        <v>127</v>
      </c>
      <c r="R12" s="196">
        <v>1525</v>
      </c>
      <c r="S12" s="196">
        <v>890</v>
      </c>
      <c r="T12" s="196">
        <v>167</v>
      </c>
      <c r="U12" s="196">
        <v>178</v>
      </c>
      <c r="V12" s="196">
        <v>967</v>
      </c>
      <c r="W12" s="196">
        <v>41</v>
      </c>
      <c r="X12" s="202">
        <v>75</v>
      </c>
      <c r="Y12" s="204">
        <v>3</v>
      </c>
      <c r="Z12" s="194">
        <v>15</v>
      </c>
      <c r="AA12" s="194">
        <v>14</v>
      </c>
      <c r="AB12" s="194">
        <v>4</v>
      </c>
      <c r="AC12" s="196">
        <v>0</v>
      </c>
      <c r="AD12" s="196">
        <v>0</v>
      </c>
      <c r="AE12" s="196">
        <v>0</v>
      </c>
      <c r="AF12" s="202">
        <v>0</v>
      </c>
      <c r="AG12" s="215">
        <v>5</v>
      </c>
      <c r="AH12" s="196">
        <v>17</v>
      </c>
      <c r="AI12" s="196">
        <v>14</v>
      </c>
      <c r="AJ12" s="216">
        <v>8</v>
      </c>
      <c r="AK12" s="195">
        <v>0</v>
      </c>
      <c r="AL12" s="196">
        <v>0</v>
      </c>
      <c r="AM12" s="196">
        <v>0</v>
      </c>
      <c r="AN12" s="202">
        <v>0</v>
      </c>
      <c r="AO12" s="283">
        <v>2</v>
      </c>
      <c r="AP12" s="168">
        <v>2</v>
      </c>
      <c r="AQ12" s="168">
        <v>2</v>
      </c>
      <c r="AR12" s="167">
        <v>2</v>
      </c>
      <c r="AS12" s="381" t="s">
        <v>1075</v>
      </c>
      <c r="AT12" s="216"/>
      <c r="AU12" s="215"/>
      <c r="AV12" s="216"/>
      <c r="AW12" s="215"/>
      <c r="AX12" s="216"/>
      <c r="AY12" s="136">
        <f t="shared" si="1"/>
        <v>895</v>
      </c>
      <c r="AZ12" s="137">
        <f t="shared" si="1"/>
        <v>184</v>
      </c>
      <c r="BA12" s="137">
        <f t="shared" si="1"/>
        <v>192</v>
      </c>
      <c r="BB12" s="137">
        <f t="shared" si="1"/>
        <v>975</v>
      </c>
      <c r="BC12" s="135">
        <f>IF(ISNUMBER(X12),X12," - ")</f>
        <v>75</v>
      </c>
      <c r="BD12" s="136">
        <f t="shared" si="2"/>
        <v>1.0434782608695652</v>
      </c>
      <c r="BE12" s="137">
        <f t="shared" si="3"/>
        <v>5.078125</v>
      </c>
      <c r="BF12" s="137">
        <f t="shared" si="4"/>
        <v>0.390625</v>
      </c>
      <c r="BG12" s="209">
        <f t="shared" si="5"/>
        <v>5.619791666666667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731</v>
      </c>
      <c r="J14" s="197">
        <f t="shared" si="7"/>
        <v>187</v>
      </c>
      <c r="K14" s="197">
        <f t="shared" si="7"/>
        <v>219</v>
      </c>
      <c r="L14" s="197">
        <f t="shared" si="7"/>
        <v>699</v>
      </c>
      <c r="M14" s="197">
        <f t="shared" si="7"/>
        <v>60</v>
      </c>
      <c r="N14" s="197">
        <f t="shared" si="7"/>
        <v>73</v>
      </c>
      <c r="O14" s="197">
        <f t="shared" si="7"/>
        <v>111</v>
      </c>
      <c r="P14" s="197">
        <f t="shared" si="7"/>
        <v>95</v>
      </c>
      <c r="Q14" s="197">
        <f t="shared" si="7"/>
        <v>127</v>
      </c>
      <c r="R14" s="197">
        <f t="shared" si="7"/>
        <v>1529</v>
      </c>
      <c r="S14" s="197">
        <f t="shared" si="7"/>
        <v>902</v>
      </c>
      <c r="T14" s="197">
        <f t="shared" si="7"/>
        <v>168</v>
      </c>
      <c r="U14" s="197">
        <f t="shared" si="7"/>
        <v>184</v>
      </c>
      <c r="V14" s="197">
        <f t="shared" si="7"/>
        <v>974</v>
      </c>
      <c r="W14" s="197">
        <f t="shared" si="7"/>
        <v>45</v>
      </c>
      <c r="X14" s="197">
        <f t="shared" si="7"/>
        <v>75</v>
      </c>
      <c r="Y14" s="197">
        <f t="shared" si="7"/>
        <v>3</v>
      </c>
      <c r="Z14" s="197">
        <f t="shared" si="7"/>
        <v>15</v>
      </c>
      <c r="AA14" s="197">
        <f t="shared" si="7"/>
        <v>14</v>
      </c>
      <c r="AB14" s="197">
        <f t="shared" si="7"/>
        <v>4</v>
      </c>
      <c r="AC14" s="197">
        <f t="shared" si="7"/>
        <v>0</v>
      </c>
      <c r="AD14" s="197">
        <f t="shared" si="7"/>
        <v>0</v>
      </c>
      <c r="AE14" s="197">
        <f t="shared" si="7"/>
        <v>0</v>
      </c>
      <c r="AF14" s="197">
        <f>SUBTOTAL(9,AF9:AF13)</f>
        <v>0</v>
      </c>
      <c r="AG14" s="197">
        <f t="shared" ref="AG14:AT14" si="8">SUBTOTAL(9,AG8:AG13)</f>
        <v>5</v>
      </c>
      <c r="AH14" s="197">
        <f t="shared" si="8"/>
        <v>17</v>
      </c>
      <c r="AI14" s="197">
        <f t="shared" si="8"/>
        <v>14</v>
      </c>
      <c r="AJ14" s="197">
        <f t="shared" si="8"/>
        <v>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907</v>
      </c>
      <c r="AZ14" s="197">
        <f>SUBTOTAL(9,AZ8:AZ13)</f>
        <v>185</v>
      </c>
      <c r="BA14" s="197">
        <f>SUBTOTAL(9,BA8:BA13)</f>
        <v>198</v>
      </c>
      <c r="BB14" s="197">
        <f>SUBTOTAL(9,BB8:BB13)</f>
        <v>982</v>
      </c>
      <c r="BC14" s="197">
        <f>SUBTOTAL(9,BC8:BC13)</f>
        <v>79</v>
      </c>
      <c r="BD14" s="219">
        <f>IF(ISNUMBER(BA14/AZ14),BA14/AZ14," - ")</f>
        <v>1.0702702702702702</v>
      </c>
      <c r="BE14" s="220">
        <f>IF(ISNUMBER(BB14/BA14),BB14/BA14, " - ")</f>
        <v>4.9595959595959593</v>
      </c>
      <c r="BF14" s="220">
        <f>IF(ISNUMBER(BC14/BA14),BC14/BA14, " - ")</f>
        <v>0.39898989898989901</v>
      </c>
      <c r="BG14" s="221">
        <f>IF(ISNUMBER((AY14+AZ14)/BA14),(AY14+AZ14)/BA14," - ")</f>
        <v>5.5151515151515156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180</v>
      </c>
      <c r="J17" s="196">
        <v>319</v>
      </c>
      <c r="K17" s="196">
        <v>313</v>
      </c>
      <c r="L17" s="196">
        <v>186</v>
      </c>
      <c r="M17" s="196">
        <v>57</v>
      </c>
      <c r="N17" s="196">
        <v>210</v>
      </c>
      <c r="O17" s="194">
        <v>6</v>
      </c>
      <c r="P17" s="196">
        <v>3</v>
      </c>
      <c r="Q17" s="196">
        <v>6</v>
      </c>
      <c r="R17" s="196">
        <v>26</v>
      </c>
      <c r="S17" s="196">
        <v>305</v>
      </c>
      <c r="T17" s="196">
        <v>385</v>
      </c>
      <c r="U17" s="196">
        <v>418</v>
      </c>
      <c r="V17" s="196">
        <v>272</v>
      </c>
      <c r="W17" s="196">
        <v>42</v>
      </c>
      <c r="X17" s="202">
        <v>287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305</v>
      </c>
      <c r="AZ17" s="137">
        <f t="shared" si="10"/>
        <v>385</v>
      </c>
      <c r="BA17" s="137">
        <f t="shared" si="10"/>
        <v>418</v>
      </c>
      <c r="BB17" s="137">
        <f t="shared" si="10"/>
        <v>272</v>
      </c>
      <c r="BC17" s="135">
        <f>IF(ISNUMBER(W17),W17," - ")</f>
        <v>42</v>
      </c>
      <c r="BD17" s="136">
        <f t="shared" ref="BD17:BD22" si="12">IF(ISNUMBER(BA17/AZ17),BA17/AZ17," - ")</f>
        <v>1.0857142857142856</v>
      </c>
      <c r="BE17" s="137">
        <f t="shared" ref="BE17:BE22" si="13">IF(ISNUMBER(BB17/BA17),BB17/BA17, " - ")</f>
        <v>0.65071770334928225</v>
      </c>
      <c r="BF17" s="137">
        <f t="shared" ref="BF17:BF22" si="14">IF(ISNUMBER(BC17/BA17),BC17/BA17, " - ")</f>
        <v>0.10047846889952153</v>
      </c>
      <c r="BG17" s="209">
        <f t="shared" si="11"/>
        <v>1.6507177033492824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26</v>
      </c>
      <c r="K18" s="196">
        <v>34</v>
      </c>
      <c r="L18" s="196">
        <v>6</v>
      </c>
      <c r="M18" s="196">
        <v>14</v>
      </c>
      <c r="N18" s="196">
        <v>20</v>
      </c>
      <c r="O18" s="196">
        <v>0</v>
      </c>
      <c r="P18" s="196">
        <v>0</v>
      </c>
      <c r="Q18" s="196">
        <v>0</v>
      </c>
      <c r="R18" s="196">
        <v>0</v>
      </c>
      <c r="S18" s="196">
        <v>20</v>
      </c>
      <c r="T18" s="196">
        <v>39</v>
      </c>
      <c r="U18" s="196">
        <v>37</v>
      </c>
      <c r="V18" s="196">
        <v>22</v>
      </c>
      <c r="W18" s="196">
        <v>7</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39</v>
      </c>
      <c r="BA18" s="139">
        <f t="shared" si="15"/>
        <v>37</v>
      </c>
      <c r="BB18" s="139">
        <f t="shared" si="15"/>
        <v>22</v>
      </c>
      <c r="BC18" s="135">
        <f>IF(ISNUMBER(W18),W18," - ")</f>
        <v>7</v>
      </c>
      <c r="BD18" s="136">
        <f>IF(ISNUMBER(BA18/AZ18),BA18/AZ18," - ")</f>
        <v>0.94871794871794868</v>
      </c>
      <c r="BE18" s="137">
        <f>IF(ISNUMBER(BB18/BA18),BB18/BA18, " - ")</f>
        <v>0.59459459459459463</v>
      </c>
      <c r="BF18" s="137">
        <f>IF(ISNUMBER(BC18/BA18),BC18/BA18, " - ")</f>
        <v>0.1891891891891892</v>
      </c>
      <c r="BG18" s="209">
        <f>IF(ISNUMBER((AY18+AZ18)/BA18),(AY18+AZ18)/BA18," - ")</f>
        <v>1.5945945945945945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194</v>
      </c>
      <c r="J23" s="197">
        <f t="shared" si="21"/>
        <v>345</v>
      </c>
      <c r="K23" s="197">
        <f t="shared" si="21"/>
        <v>347</v>
      </c>
      <c r="L23" s="197">
        <f t="shared" si="21"/>
        <v>192</v>
      </c>
      <c r="M23" s="197">
        <f t="shared" si="21"/>
        <v>71</v>
      </c>
      <c r="N23" s="197">
        <f t="shared" si="21"/>
        <v>230</v>
      </c>
      <c r="O23" s="197">
        <f t="shared" si="21"/>
        <v>6</v>
      </c>
      <c r="P23" s="197">
        <f t="shared" si="21"/>
        <v>3</v>
      </c>
      <c r="Q23" s="197">
        <f t="shared" si="21"/>
        <v>6</v>
      </c>
      <c r="R23" s="197">
        <f t="shared" si="21"/>
        <v>26</v>
      </c>
      <c r="S23" s="197">
        <f t="shared" si="21"/>
        <v>325</v>
      </c>
      <c r="T23" s="197">
        <f t="shared" si="21"/>
        <v>424</v>
      </c>
      <c r="U23" s="197">
        <f t="shared" si="21"/>
        <v>455</v>
      </c>
      <c r="V23" s="197">
        <f t="shared" si="21"/>
        <v>294</v>
      </c>
      <c r="W23" s="197">
        <f t="shared" si="21"/>
        <v>49</v>
      </c>
      <c r="X23" s="197">
        <f t="shared" si="21"/>
        <v>315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325</v>
      </c>
      <c r="AZ23" s="197">
        <f>SUBTOTAL(9,AZ15:AZ22)</f>
        <v>424</v>
      </c>
      <c r="BA23" s="197">
        <f>SUBTOTAL(9,BA15:BA22)</f>
        <v>455</v>
      </c>
      <c r="BB23" s="197">
        <f>SUBTOTAL(9,BB15:BB22)</f>
        <v>294</v>
      </c>
      <c r="BC23" s="197">
        <f>SUBTOTAL(9,BC15:BC22)</f>
        <v>49</v>
      </c>
      <c r="BD23" s="219">
        <f>IF(ISNUMBER(BA23/AZ23),BA23/AZ23," - ")</f>
        <v>1.0731132075471699</v>
      </c>
      <c r="BE23" s="220">
        <f>IF(ISNUMBER(BB23/BA23),BB23/BA23, " - ")</f>
        <v>0.64615384615384619</v>
      </c>
      <c r="BF23" s="220">
        <f>IF(ISNUMBER(BC23/BA23),BC23/BA23, " - ")</f>
        <v>0.1076923076923077</v>
      </c>
      <c r="BG23" s="221">
        <f>IF(ISNUMBER((AY23+AZ23)/BA23),(AY23+AZ23)/BA23," - ")</f>
        <v>1.6461538461538461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925</v>
      </c>
      <c r="J31" s="144">
        <f t="shared" si="36"/>
        <v>532</v>
      </c>
      <c r="K31" s="144">
        <f t="shared" si="36"/>
        <v>566</v>
      </c>
      <c r="L31" s="144">
        <f t="shared" si="36"/>
        <v>891</v>
      </c>
      <c r="M31" s="144">
        <f t="shared" si="36"/>
        <v>131</v>
      </c>
      <c r="N31" s="144">
        <f t="shared" si="36"/>
        <v>303</v>
      </c>
      <c r="O31" s="144">
        <f t="shared" si="36"/>
        <v>117</v>
      </c>
      <c r="P31" s="144">
        <f t="shared" si="36"/>
        <v>98</v>
      </c>
      <c r="Q31" s="144">
        <f t="shared" si="36"/>
        <v>133</v>
      </c>
      <c r="R31" s="144">
        <f t="shared" si="36"/>
        <v>1555</v>
      </c>
      <c r="S31" s="144">
        <f t="shared" si="36"/>
        <v>1227</v>
      </c>
      <c r="T31" s="144">
        <f t="shared" si="36"/>
        <v>592</v>
      </c>
      <c r="U31" s="144">
        <f t="shared" si="36"/>
        <v>639</v>
      </c>
      <c r="V31" s="144">
        <f t="shared" si="36"/>
        <v>1268</v>
      </c>
      <c r="W31" s="144">
        <f t="shared" si="36"/>
        <v>94</v>
      </c>
      <c r="X31" s="144">
        <f t="shared" si="36"/>
        <v>390</v>
      </c>
      <c r="Y31" s="144">
        <f t="shared" si="36"/>
        <v>3</v>
      </c>
      <c r="Z31" s="144">
        <f t="shared" si="36"/>
        <v>15</v>
      </c>
      <c r="AA31" s="144">
        <f t="shared" si="36"/>
        <v>14</v>
      </c>
      <c r="AB31" s="144">
        <f t="shared" si="36"/>
        <v>4</v>
      </c>
      <c r="AC31" s="144">
        <f t="shared" si="36"/>
        <v>0</v>
      </c>
      <c r="AD31" s="144">
        <f t="shared" si="36"/>
        <v>0</v>
      </c>
      <c r="AE31" s="144">
        <f t="shared" si="36"/>
        <v>0</v>
      </c>
      <c r="AF31" s="144">
        <f t="shared" si="36"/>
        <v>0</v>
      </c>
      <c r="AG31" s="144">
        <f t="shared" si="36"/>
        <v>5</v>
      </c>
      <c r="AH31" s="144">
        <f t="shared" si="36"/>
        <v>17</v>
      </c>
      <c r="AI31" s="144">
        <f t="shared" si="36"/>
        <v>14</v>
      </c>
      <c r="AJ31" s="144">
        <f t="shared" si="36"/>
        <v>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1232</v>
      </c>
      <c r="AZ31" s="144">
        <f>SUBTOTAL(9,AZ9:AZ30)</f>
        <v>609</v>
      </c>
      <c r="BA31" s="144">
        <f>SUBTOTAL(9,BA9:BA30)</f>
        <v>653</v>
      </c>
      <c r="BB31" s="144">
        <f>SUBTOTAL(9,BB9:BB30)</f>
        <v>1276</v>
      </c>
      <c r="BC31" s="145">
        <f>SUBTOTAL(9,BC9:BC30)</f>
        <v>128</v>
      </c>
      <c r="BD31" s="227">
        <f>IF(ISNUMBER(BA31/AZ31),BA31/AZ31," - ")</f>
        <v>1.0722495894909687</v>
      </c>
      <c r="BE31" s="224">
        <f>IF(ISNUMBER(BB31/BA31),BB31/BA31, " - ")</f>
        <v>1.9540581929555896</v>
      </c>
      <c r="BF31" s="224">
        <f>IF(ISNUMBER(BC31/BA31),BC31/BA31, " - ")</f>
        <v>0.19601837672281777</v>
      </c>
      <c r="BG31" s="145">
        <f>IF(ISNUMBER((AY31+AZ31)/BA31),(AY31+AZ31)/BA31," - ")</f>
        <v>2.8192955589586526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OFoOAKDgSOGXfVqQrtBHms/s/XAqYg8k16Qaz2SOe4pk/kyMGnojiKgylVFC4u83I3tpnoVlo6ZcHpfoPWekQ==" saltValue="n+OeNMvxNuY6AIy2bH92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9xfFonKwB5Q5m4JWlB3IkUepKIFrqJWb5DLsmomya6OMjUkn7KCPCKC5Vwc2lwP5Fga4J5NGwuut1ZJ50pndQ==" saltValue="h1ytA811Vv9xd2/tMono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ALMUÑECAR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1525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73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1.1542288557213931</v>
      </c>
      <c r="BH12" s="764">
        <f>IF(ISNUMBER(((IF(J_V="SI",Datos!L12/Datos!K12,(Datos!L12+Datos!AB12)/(Datos!K12+Datos!AA12)))*11)/factor_trimestre),((IF(J_V="SI",Datos!L12/Datos!K12,(Datos!L12+Datos!AB12)/(Datos!K12+Datos!AA12)))*11)/factor_trimestre," - ")</f>
        <v>6.0258620689655169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-2.1808851828094934E-2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127</v>
      </c>
      <c r="AD14" s="1198">
        <f t="shared" si="2"/>
        <v>0</v>
      </c>
      <c r="AE14" s="1198">
        <f t="shared" si="2"/>
        <v>0</v>
      </c>
      <c r="AF14" s="1198">
        <f t="shared" si="2"/>
        <v>4</v>
      </c>
      <c r="AG14" s="1198">
        <f t="shared" si="2"/>
        <v>0</v>
      </c>
      <c r="AH14" s="1198">
        <f t="shared" si="2"/>
        <v>4</v>
      </c>
      <c r="AI14" s="1198">
        <f t="shared" si="2"/>
        <v>0</v>
      </c>
      <c r="AJ14" s="1198">
        <f t="shared" si="2"/>
        <v>0</v>
      </c>
      <c r="AK14" s="1198">
        <f t="shared" si="2"/>
        <v>0</v>
      </c>
      <c r="AL14" s="1198">
        <f t="shared" si="2"/>
        <v>0</v>
      </c>
      <c r="AM14" s="1198">
        <f t="shared" si="2"/>
        <v>1529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73</v>
      </c>
      <c r="BE14" s="1198">
        <f t="shared" si="2"/>
        <v>0</v>
      </c>
      <c r="BF14" s="1198">
        <f t="shared" si="2"/>
        <v>0</v>
      </c>
      <c r="BG14" s="1198">
        <f>IF(ISNUMBER(Datos!K14/Datos!J14),Datos!K14/Datos!J14," - ")</f>
        <v>1.1711229946524064</v>
      </c>
      <c r="BH14" s="1202">
        <f>IF(ISNUMBER(((Datos!L14/Datos!K14)*11)/factor_trimestre),((Datos!L14/Datos!K14)*11)/factor_trimestre," - ")</f>
        <v>6.3835616438356162</v>
      </c>
      <c r="BI14" s="1198">
        <f>IF(ISNUMBER('Resol  Asuntos'!D14/NºAsuntos!G14),'Resol  Asuntos'!D14/NºAsuntos!G14," - ")</f>
        <v>0.25751072961373389</v>
      </c>
      <c r="BJ14" s="1198" t="str">
        <f>IF(ISNUMBER(Datos!CI14/Datos!CJ14),Datos!CI14/Datos!CJ14," - ")</f>
        <v xml:space="preserve"> - </v>
      </c>
      <c r="BK14" s="1198">
        <f>SUBTOTAL(9,BK8:BK13)</f>
        <v>0</v>
      </c>
      <c r="BL14" s="1198">
        <f>IF(ISNUMBER((I14-AB14+L14)/(F14)),(I14-AB14+L14)/(F14)," - ")</f>
        <v>-0.25</v>
      </c>
      <c r="BM14" s="1203">
        <f>SUBTOTAL(9,BM9:BM13)</f>
        <v>0.97819114817190511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180</v>
      </c>
      <c r="G17" s="743">
        <f>IF(ISNUMBER(IF(D_I="SI",Datos!I17,Datos!I17+Datos!AC17)),IF(D_I="SI",Datos!I17,Datos!I17+Datos!AC17)," - ")</f>
        <v>180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313</v>
      </c>
      <c r="AC17" s="240">
        <f>IF(ISNUMBER(Datos!Q17),Datos!Q17," - ")</f>
        <v>6</v>
      </c>
      <c r="AD17" s="374"/>
      <c r="AE17" s="562"/>
      <c r="AF17" s="741">
        <f>IF(ISNUMBER(IF(D_I="SI",Datos!L17,Datos!L17+Datos!AF17)),IF(D_I="SI",Datos!L17,Datos!L17+Datos!AF17)," - ")</f>
        <v>186</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v>
      </c>
      <c r="BD17" s="243">
        <f>IF(ISNUMBER(Datos!N17),Datos!N17," - ")</f>
        <v>210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0.98119122257053293</v>
      </c>
      <c r="BH17" s="764">
        <f>IF(ISNUMBER(((IF(D_I="SI",Datos!L17/Datos!K17,(Datos!L17+Datos!AF17)/(Datos!K17+Datos!AE17)))*11)/factor_trimestre),((IF(D_I="SI",Datos!L17/Datos!K17,(Datos!L17+Datos!AF17)/(Datos!K17+Datos!AE17)))*11)/factor_trimestre," - ")</f>
        <v>1.1884984025559104</v>
      </c>
      <c r="BI17" s="266">
        <f>IF(ISNUMBER('Resol  Asuntos'!D17/NºAsuntos!G17),'Resol  Asuntos'!D17/NºAsuntos!G17," - ")</f>
        <v>0.18210862619808307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1.3076923076923077</v>
      </c>
      <c r="BH18" s="764">
        <f>IF(ISNUMBER(((IF(D_I="SI",Datos!L18/Datos!K18,(Datos!L18+Datos!AF18)/(Datos!K18+Datos!AE18)))*11)/factor_trimestre),((IF(D_I="SI",Datos!L18/Datos!K18,(Datos!L18+Datos!AF18)/(Datos!K18+Datos!AE18)))*11)/factor_trimestre," - ")</f>
        <v>0.35294117647058826</v>
      </c>
      <c r="BI18" s="763">
        <f>IF(ISNUMBER('Resol  Asuntos'!D18/NºAsuntos!G18),'Resol  Asuntos'!D18/NºAsuntos!G18," - ")</f>
        <v>0.41176470588235292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180</v>
      </c>
      <c r="G23" s="1197">
        <f>SUBTOTAL(9,G16:G22)</f>
        <v>194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347</v>
      </c>
      <c r="AC23" s="1198">
        <f t="shared" si="5"/>
        <v>6</v>
      </c>
      <c r="AD23" s="1198">
        <f t="shared" si="5"/>
        <v>0</v>
      </c>
      <c r="AE23" s="1198">
        <f t="shared" si="5"/>
        <v>0</v>
      </c>
      <c r="AF23" s="1198">
        <f t="shared" si="5"/>
        <v>192</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v>
      </c>
      <c r="BD23" s="1198">
        <f t="shared" si="5"/>
        <v>230</v>
      </c>
      <c r="BE23" s="1198">
        <f t="shared" si="5"/>
        <v>0</v>
      </c>
      <c r="BF23" s="1198">
        <f t="shared" si="5"/>
        <v>0</v>
      </c>
      <c r="BG23" s="1198">
        <f>IF(ISNUMBER(Datos!K23/Datos!J23),Datos!K23/Datos!J23," - ")</f>
        <v>1.0057971014492753</v>
      </c>
      <c r="BH23" s="1202">
        <f>IF(ISNUMBER(((Datos!L23/Datos!K23)*11)/factor_trimestre),((Datos!L23/Datos!K23)*11)/factor_trimestre," - ")</f>
        <v>1.106628242074928</v>
      </c>
      <c r="BI23" s="1198">
        <f>SUBTOTAL(9,BI16:BI22)</f>
        <v>0.59387333208043602</v>
      </c>
      <c r="BJ23" s="1198">
        <f>SUBTOTAL(9,BJ16:BJ22)</f>
        <v>0</v>
      </c>
      <c r="BK23" s="1198">
        <f>SUBTOTAL(9,BK16:BK22)</f>
        <v>0</v>
      </c>
      <c r="BL23" s="1198">
        <f>IF(ISNUMBER((I23-AB23+L23)/(F23)),(I23-AB23+L23)/(F23)," - ")</f>
        <v>-1.9277777777777778</v>
      </c>
      <c r="BM23" s="1205">
        <f>IF(ISNUMBER((Datos!P23-Datos!Q23)/(Datos!R23-Datos!P23+Datos!Q23)),(Datos!P23-Datos!Q23)/(Datos!R23-Datos!P23+Datos!Q23)," - ")</f>
        <v>-0.10344827586206896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184</v>
      </c>
      <c r="G31" s="1117">
        <f t="shared" si="18"/>
        <v>198</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98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348</v>
      </c>
      <c r="AC31" s="1118">
        <f t="shared" si="19"/>
        <v>133</v>
      </c>
      <c r="AD31" s="1118">
        <f t="shared" si="19"/>
        <v>0</v>
      </c>
      <c r="AE31" s="1118">
        <f t="shared" si="19"/>
        <v>0</v>
      </c>
      <c r="AF31" s="1125">
        <f t="shared" si="19"/>
        <v>196</v>
      </c>
      <c r="AG31" s="1125">
        <f t="shared" si="19"/>
        <v>0</v>
      </c>
      <c r="AH31" s="1125">
        <f t="shared" si="19"/>
        <v>4</v>
      </c>
      <c r="AI31" s="1125">
        <f t="shared" si="19"/>
        <v>0</v>
      </c>
      <c r="AJ31" s="1118">
        <f t="shared" si="19"/>
        <v>0</v>
      </c>
      <c r="AK31" s="1125">
        <f t="shared" si="19"/>
        <v>0</v>
      </c>
      <c r="AL31" s="1125">
        <f t="shared" si="19"/>
        <v>0</v>
      </c>
      <c r="AM31" s="1125">
        <f t="shared" si="19"/>
        <v>1555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131</v>
      </c>
      <c r="BD31" s="1117">
        <f t="shared" si="19"/>
        <v>303</v>
      </c>
      <c r="BE31" s="1117">
        <f t="shared" si="19"/>
        <v>0</v>
      </c>
      <c r="BF31" s="1127">
        <f t="shared" si="19"/>
        <v>0</v>
      </c>
      <c r="BG31" s="1223">
        <f>IF(ISNUMBER(Datos!K31/Datos!J31),Datos!K31/Datos!J31," - ")</f>
        <v>1.0639097744360901</v>
      </c>
      <c r="BH31" s="1223">
        <f>IF(ISNUMBER(((Datos!L31/Datos!K31)*11)/factor_trimestre),((Datos!L31/Datos!K31)*11)/factor_trimestre," - ")</f>
        <v>3.1484098939929335</v>
      </c>
      <c r="BI31" s="1103">
        <f>IF(ISNUMBER(Datos!J31/Datos!I31),Datos!J31/Datos!I31," - ")</f>
        <v>0.57513513513513514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-1.8913043478260869</v>
      </c>
      <c r="BM31" s="1188">
        <f>IF(ISNUMBER((Datos!P31-Datos!Q31+R31)/(Datos!R31-Datos!P31+Datos!Q31-R31)),(Datos!P31-Datos!Q31+R31)/(Datos!R31-Datos!P31+Datos!Q31-R31)," - ")</f>
        <v>-2.20125786163522E-2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91.936209768875429</v>
      </c>
      <c r="G33" s="674">
        <f>IF(ISNUMBER(STDEV(G8:G30)),STDEV(G8:G30),"-")</f>
        <v>89.313786063252195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158.28966816447323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31.860185633034668</v>
      </c>
      <c r="BD33" s="673"/>
      <c r="BE33" s="673">
        <f>IF(ISNUMBER(STDEV(BE8:BE30)),STDEV(BE8:BE30),"-")</f>
        <v>0</v>
      </c>
      <c r="BF33" s="678">
        <f>IF(ISNUMBER(STDEV(BF8:BF30)),STDEV(BF8:BF30),"-")</f>
        <v>0</v>
      </c>
      <c r="BG33" s="1052">
        <f>IF(ISNUMBER(STDEV(BG8:BG30)),STDEV(BG8:BG30),"-")</f>
        <v>0.12965968697758276</v>
      </c>
      <c r="BH33" s="1058">
        <f>IF(ISNUMBER(STDEV(BH8:BH30)),STDEV(BH8:BH30),"-")</f>
        <v>3.323089193965945</v>
      </c>
      <c r="BI33" s="273">
        <f>IF(ISNUMBER(STDEV(BI8:BI30)),STDEV(BI8:BI30),"-")</f>
        <v>0.18213438409007199</v>
      </c>
      <c r="BJ33" s="244" t="str">
        <f>IF(ISNUMBER(BL33/BM33),BL33/BM33," - ")</f>
        <v xml:space="preserve"> - </v>
      </c>
      <c r="BK33" s="709"/>
      <c r="BL33" s="681">
        <f>IF(ISNUMBER(STDEV(BL8:BL30)),STDEV(BL8:BL30),"-")</f>
        <v>1.1863680439907629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g6HNLZqY0QTBjRVFF857VChaEVOaUxWuNAfGMLDz2aGs/RoCVLn82mPmkbJ5Qwpa5D/eNJjS82kjIZPMzMFSg==" saltValue="+XMTxO0g8s0ZueuMznwL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ALMUÑECAR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127</v>
      </c>
      <c r="AA12" s="551" t="str">
        <f>IF(ISNUMBER(IF(J_V="SI",Datos!L12,Datos!L12+Datos!AB12)-IF(Monitorios="SI",Datos!CD12,0)),
                          IF(J_V="SI",Datos!L12,Datos!L12+Datos!AB12)-IF(Monitorios="SI",Datos!CD12,0),
                          " - ")</f>
        <v xml:space="preserve"> - </v>
      </c>
      <c r="AB12" s="549"/>
      <c r="AC12" s="549"/>
      <c r="AD12" s="563"/>
      <c r="AE12" s="563">
        <f>IF(ISNUMBER(Datos!R12),Datos!R12," - ")</f>
        <v>1525</v>
      </c>
      <c r="AF12" s="693" t="str">
        <f>IF(ISNUMBER(Datos!BV12),Datos!BV12," - ")</f>
        <v xml:space="preserve"> - </v>
      </c>
      <c r="AG12" s="552" t="str">
        <f>IF(ISNUMBER(Datos!DV12),Datos!DV12," - ")</f>
        <v xml:space="preserve"> - </v>
      </c>
      <c r="AH12" s="553"/>
      <c r="AI12" s="554"/>
      <c r="AJ12" s="552">
        <f>IF(ISNUMBER(Datos!M12),Datos!M12," - ")</f>
        <v>60</v>
      </c>
      <c r="AK12" s="693">
        <f>IF(ISNUMBER(Datos!N12),Datos!N12," - ")</f>
        <v>73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6.0258620689655169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-2.1808851828094934E-2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127</v>
      </c>
      <c r="AA14" s="1199">
        <f t="shared" si="3"/>
        <v>4</v>
      </c>
      <c r="AB14" s="1199">
        <f t="shared" si="3"/>
        <v>0</v>
      </c>
      <c r="AC14" s="1199">
        <f t="shared" si="3"/>
        <v>0</v>
      </c>
      <c r="AD14" s="1199">
        <f t="shared" si="3"/>
        <v>0</v>
      </c>
      <c r="AE14" s="1199">
        <f t="shared" si="3"/>
        <v>1529</v>
      </c>
      <c r="AF14" s="1211">
        <f t="shared" si="3"/>
        <v>0</v>
      </c>
      <c r="AG14" s="1211">
        <f t="shared" si="3"/>
        <v>0</v>
      </c>
      <c r="AH14" s="1211">
        <f t="shared" si="3"/>
        <v>0</v>
      </c>
      <c r="AI14" s="1211">
        <f t="shared" si="3"/>
        <v>0</v>
      </c>
      <c r="AJ14" s="1211">
        <f t="shared" si="3"/>
        <v>60</v>
      </c>
      <c r="AK14" s="1211">
        <f t="shared" si="3"/>
        <v>73</v>
      </c>
      <c r="AL14" s="1211">
        <f t="shared" si="3"/>
        <v>0</v>
      </c>
      <c r="AM14" s="1211">
        <f t="shared" si="3"/>
        <v>0</v>
      </c>
      <c r="AN14" s="1211">
        <f t="shared" si="3"/>
        <v>0</v>
      </c>
      <c r="AO14" s="1203">
        <f>IF(ISNUMBER(((NºAsuntos!I14/NºAsuntos!G14)*11)/factor_trimestre),((NºAsuntos!I14/NºAsuntos!G14)*11)/factor_trimestre," - ")</f>
        <v>6.0343347639484968</v>
      </c>
      <c r="AP14" s="1213" t="str">
        <f>IF(ISNUMBER(Datos!CI14/Datos!CJ14),Datos!CI14/Datos!CJ14," - ")</f>
        <v xml:space="preserve"> - </v>
      </c>
      <c r="AQ14" s="1236">
        <f t="shared" ref="AQ14:AV14" si="4">SUBTOTAL(9,AQ9:AQ13)</f>
        <v>0</v>
      </c>
      <c r="AR14" s="1236">
        <f t="shared" si="4"/>
        <v>0.97819114817190511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180</v>
      </c>
      <c r="G17" s="552">
        <f>IF(ISNUMBER(IF(D_I="SI",Datos!I17,Datos!I17+Datos!AC17)),IF(D_I="SI",Datos!I17,Datos!I17+Datos!AC17)," - ")</f>
        <v>180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313</v>
      </c>
      <c r="Z17" s="805">
        <f>IF(ISNUMBER(Datos!Q17),Datos!Q17," - ")</f>
        <v>6</v>
      </c>
      <c r="AA17" s="551">
        <f>IF(ISNUMBER(IF(D_I="SI",Datos!L17,Datos!L17+Datos!AF17)),IF(D_I="SI",Datos!L17,Datos!L17+Datos!AF17)," - ")</f>
        <v>186</v>
      </c>
      <c r="AB17" s="549"/>
      <c r="AC17" s="549"/>
      <c r="AD17" s="563"/>
      <c r="AE17" s="563">
        <f>IF(ISNUMBER(Datos!R17),Datos!R17," - ")</f>
        <v>26</v>
      </c>
      <c r="AF17" s="693" t="str">
        <f>IF(ISNUMBER(Datos!BV17),Datos!BV17," - ")</f>
        <v xml:space="preserve"> - </v>
      </c>
      <c r="AG17" s="552"/>
      <c r="AH17" s="553"/>
      <c r="AI17" s="554"/>
      <c r="AJ17" s="552">
        <f>IF(ISNUMBER(Datos!M17),Datos!M17," - ")</f>
        <v>57</v>
      </c>
      <c r="AK17" s="693">
        <f>IF(ISNUMBER(Datos!N17),Datos!N17," - ")</f>
        <v>210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1.1884984025559104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14</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0.35294117647058826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180</v>
      </c>
      <c r="G23" s="1197">
        <f>SUBTOTAL(9,G16:G22)</f>
        <v>194</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347</v>
      </c>
      <c r="Z23" s="1240">
        <f t="shared" si="6"/>
        <v>6</v>
      </c>
      <c r="AA23" s="1240">
        <f t="shared" si="6"/>
        <v>192</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71</v>
      </c>
      <c r="AK23" s="1240">
        <f t="shared" si="6"/>
        <v>230</v>
      </c>
      <c r="AL23" s="1240">
        <f t="shared" si="6"/>
        <v>0</v>
      </c>
      <c r="AM23" s="1240">
        <f t="shared" si="6"/>
        <v>0</v>
      </c>
      <c r="AN23" s="1240">
        <f t="shared" si="6"/>
        <v>0</v>
      </c>
      <c r="AO23" s="1242">
        <f>IF(ISNUMBER(((NºAsuntos!I23/NºAsuntos!G23)*11)/factor_trimestre),((NºAsuntos!I23/NºAsuntos!G23)*11)/factor_trimestre," - ")</f>
        <v>1.106628242074928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184</v>
      </c>
      <c r="G31" s="1117">
        <f t="shared" si="12"/>
        <v>198</v>
      </c>
      <c r="H31" s="1118">
        <f t="shared" si="12"/>
        <v>0</v>
      </c>
      <c r="I31" s="1117">
        <f t="shared" si="12"/>
        <v>0</v>
      </c>
      <c r="J31" s="1119">
        <f t="shared" si="12"/>
        <v>0</v>
      </c>
      <c r="K31" s="1117">
        <f t="shared" si="12"/>
        <v>0</v>
      </c>
      <c r="L31" s="1120">
        <f t="shared" si="12"/>
        <v>0</v>
      </c>
      <c r="M31" s="1117">
        <f t="shared" si="12"/>
        <v>0</v>
      </c>
      <c r="N31" s="1118">
        <f t="shared" si="12"/>
        <v>98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348</v>
      </c>
      <c r="Z31" s="1124">
        <f t="shared" si="13"/>
        <v>133</v>
      </c>
      <c r="AA31" s="1125">
        <f t="shared" si="13"/>
        <v>196</v>
      </c>
      <c r="AB31" s="1125">
        <f t="shared" si="13"/>
        <v>0</v>
      </c>
      <c r="AC31" s="1125">
        <f t="shared" si="13"/>
        <v>0</v>
      </c>
      <c r="AD31" s="1126">
        <f t="shared" si="13"/>
        <v>0</v>
      </c>
      <c r="AE31" s="1126">
        <f t="shared" si="13"/>
        <v>1555</v>
      </c>
      <c r="AF31" s="1127">
        <f t="shared" si="13"/>
        <v>0</v>
      </c>
      <c r="AG31" s="1128">
        <f t="shared" si="13"/>
        <v>0</v>
      </c>
      <c r="AH31" s="1129">
        <f t="shared" si="13"/>
        <v>0</v>
      </c>
      <c r="AI31" s="1127">
        <f t="shared" si="13"/>
        <v>0</v>
      </c>
      <c r="AJ31" s="1117">
        <f t="shared" si="13"/>
        <v>131</v>
      </c>
      <c r="AK31" s="1117">
        <f t="shared" si="13"/>
        <v>303</v>
      </c>
      <c r="AL31" s="1117">
        <f t="shared" si="13"/>
        <v>0</v>
      </c>
      <c r="AM31" s="1130">
        <f t="shared" si="13"/>
        <v>0</v>
      </c>
      <c r="AN31" s="1120">
        <f>IF(ISNUMBER(Datos!K31/Datos!J31),Datos!K31/Datos!J31," - ")</f>
        <v>1.0639097744360901</v>
      </c>
      <c r="AO31" s="1120">
        <f>IF(ISNUMBER(FIND("06",Criterios!A8,1)),(IF(ISNUMBER(((Datos!R31/Datos!Q31)*11)/factor_trimestre),((Datos!R31/Datos!Q31)*11)/factor_trimestre," - ")),(IF(ISNUMBER(((Datos!L31/Datos!K31)*11)/factor_trimestre),((Datos!L31/Datos!K31)*11)/factor_trimestre," - ")))</f>
        <v>3.1484098939929335</v>
      </c>
      <c r="AP31" s="1131" t="str">
        <f>IF(ISNUMBER(Datos!CI31/Datos!CJ31),Datos!CI31/Datos!CJ31," - ")</f>
        <v xml:space="preserve"> - </v>
      </c>
      <c r="AQ31" s="1131">
        <f>IF(OR(ISNUMBER(FIND("01",Criterios!A8,1)),ISNUMBER(FIND("02",Criterios!A8,1)),ISNUMBER(FIND("03",Criterios!A8,1)),ISNUMBER(FIND("04",Criterios!A8,1))),(J31-Y31+K31)/(F31-K31),(I31-Y31+K31)/(F31-K31))</f>
        <v>-1.8913043478260869</v>
      </c>
      <c r="AR31" s="1131">
        <f>IF(ISNUMBER((Datos!P31-Datos!Q31+O31)/(Datos!R31-Datos!P31+Datos!Q31-O31)),(Datos!P31-Datos!Q31+O31)/(Datos!R31-Datos!P31+Datos!Q31-O31)," - ")</f>
        <v>-2.20125786163522E-2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91.936209768875429</v>
      </c>
      <c r="G33" s="674">
        <f>IF(ISNUMBER(STDEV(G8:G30)),STDEV(G8:G30),"-")</f>
        <v>89.313786063252195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31.860185633034668</v>
      </c>
      <c r="AK33" s="276"/>
      <c r="AL33" s="276">
        <f>IF(ISNUMBER(STDEV(AL8:AL30)),STDEV(AL8:AL30),"-")</f>
        <v>0</v>
      </c>
      <c r="AM33" s="278">
        <f>IF(ISNUMBER(STDEV(AM8:AM30)),STDEV(AM8:AM30),"-")</f>
        <v>0</v>
      </c>
      <c r="AN33" s="660">
        <f>IF(ISNUMBER(STDEV(AN8:AN30)),STDEV(AN8:AN30),"-")</f>
        <v>0</v>
      </c>
      <c r="AO33" s="661">
        <f>IF(ISNUMBER(STDEV(AO8:AO30)),STDEV(AO8:AO30),"-")</f>
        <v>3.2723605479188205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2hsMXxvrv8+1SOYSazjX2PD3jqqKc6EF7eLOfGdNDnZ39Yp317WnrOpjZN+8Mfwdn35sXYtX/+TuguW7Wc0x7A==" saltValue="umTy/UM2aqgo+mxxuVxp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dfa5IMnYaZ72yyADxdmhaXb32Z7nCnGcpqa2NGb0UDaRAxVcOX7JOHBREGX2Ewl5YXlud5gnBHMYqVHC23K0g==" saltValue="3APxd3KTwBN4c94vAYLC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1nbRKpI4am91j8H9QG7qXh5A4az7E/xk3bqdjJk6jP/6buHGO0jRTv5p35vItUrysR53meb0TWMUU8m85gBug==" saltValue="oq6g+MS2lJPHb7ElR7wF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ALMUÑECAR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0.25751072961373389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0.18208758313816673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FtdfY0JSiUk3KW1Stt0AybueGpd7N1nwY5ggUNAaP0ArDLTDYhg0Ui2RySdmYf03FgG79+YJmYG1H4ErGzXoQ==" saltValue="ev+O6aydFx/12o7oWDjv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uHgpCKQRiLZGPsRRQu/uUckSCyelKUUZdBibQQNKUey08lJuNNqAuEAN48k7gQEO3GXy/7g18EqLaNoXjJZxg==" saltValue="OSSwlCR/JErMdUJNnJDq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ALMUÑECAR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730</v>
      </c>
      <c r="D12" s="452">
        <f>IF(ISNUMBER(C12/Datos!BH12),C12/Datos!BH12," - ")</f>
        <v>365</v>
      </c>
      <c r="E12" s="451">
        <f>IF(ISNUMBER(IF(J_V="SI",Datos!J12,Datos!J12+Datos!Z12)),IF(J_V="SI",Datos!J12,Datos!J12+Datos!Z12)," - ")</f>
        <v>201</v>
      </c>
      <c r="F12" s="452">
        <f>IF(ISNUMBER(E12/B12),E12/B12," - ")</f>
        <v>100.5</v>
      </c>
      <c r="G12" s="451">
        <f>IF(ISNUMBER(IF(J_V="SI",Datos!K12,Datos!K12+Datos!AA12)),IF(J_V="SI",Datos!K12,Datos!K12+Datos!AA12)," - ")</f>
        <v>232</v>
      </c>
      <c r="H12" s="452">
        <f>IF(ISNUMBER(G12/B12),G12/B12," - ")</f>
        <v>116</v>
      </c>
      <c r="I12" s="451">
        <f>IF(ISNUMBER(IF(J_V="SI",Datos!L12,Datos!L12+Datos!AB12)),IF(J_V="SI",Datos!L12,Datos!L12+Datos!AB12)," - ")</f>
        <v>699</v>
      </c>
      <c r="J12" s="452">
        <f>IF(ISNUMBER(I12/B12),I12/B12," - ")</f>
        <v>349.5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734</v>
      </c>
      <c r="D14" s="1147" t="str">
        <f>IF(ISNUMBER(C14/Datos!BI14),C14/Datos!BI14," - ")</f>
        <v xml:space="preserve"> - </v>
      </c>
      <c r="E14" s="1146">
        <f>SUBTOTAL(9,E8:E13)</f>
        <v>202</v>
      </c>
      <c r="F14" s="1147">
        <f>IF(ISNUMBER(E14/B14),E14/B14," - ")</f>
        <v>101</v>
      </c>
      <c r="G14" s="1146">
        <f>SUBTOTAL(9,G8:G13)</f>
        <v>233</v>
      </c>
      <c r="H14" s="1147">
        <f>IF(ISNUMBER(G14/B14),G14/B14," - ")</f>
        <v>116.5</v>
      </c>
      <c r="I14" s="1146">
        <f>SUBTOTAL(9,I8:I13)</f>
        <v>703</v>
      </c>
      <c r="J14" s="1147">
        <f>IF(ISNUMBER(I14/B14),I14/B14," - ")</f>
        <v>351.5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180</v>
      </c>
      <c r="D17" s="452">
        <f>IF(ISNUMBER(C17/Datos!BH17),C17/Datos!BH17," - ")</f>
        <v>90</v>
      </c>
      <c r="E17" s="451">
        <f>IF(ISNUMBER(IF(D_I="SI",Datos!J17,Datos!J17+Datos!AD17)),IF(D_I="SI",Datos!J17,Datos!J17+Datos!AD17)," - ")</f>
        <v>319</v>
      </c>
      <c r="F17" s="452">
        <f>IF(ISNUMBER(E17/B17),E17/B17," - ")</f>
        <v>159.5</v>
      </c>
      <c r="G17" s="451">
        <f>IF(ISNUMBER(IF(D_I="SI",Datos!K17,Datos!K17+Datos!AE17)),IF(D_I="SI",Datos!K17,Datos!K17+Datos!AE17)," - ")</f>
        <v>313</v>
      </c>
      <c r="H17" s="452">
        <f>IF(ISNUMBER(G17/B17),G17/B17," - ")</f>
        <v>156.5</v>
      </c>
      <c r="I17" s="451">
        <f>IF(ISNUMBER(IF(D_I="SI",Datos!L17,Datos!L17+Datos!AF17)),IF(D_I="SI",Datos!L17,Datos!L17+Datos!AF17)," - ")</f>
        <v>186</v>
      </c>
      <c r="J17" s="452">
        <f>IF(ISNUMBER(I17/B17),I17/B17," - ")</f>
        <v>93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26</v>
      </c>
      <c r="F18" s="452">
        <f>IF(ISNUMBER(E18/B18),E18/B18," - ")</f>
        <v>26</v>
      </c>
      <c r="G18" s="451">
        <f>IF(ISNUMBER(IF(D_I="SI",Datos!K18,Datos!K18+Datos!AE18)),IF(D_I="SI",Datos!K18,Datos!K18+Datos!AE18)," - ")</f>
        <v>34</v>
      </c>
      <c r="H18" s="452">
        <f>IF(ISNUMBER(G18/B18),G18/B18," - ")</f>
        <v>34</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194</v>
      </c>
      <c r="D23" s="1147" t="str">
        <f>IF(ISNUMBER(C23/Datos!BI23),C23/Datos!BI23," - ")</f>
        <v xml:space="preserve"> - </v>
      </c>
      <c r="E23" s="1146">
        <f>SUBTOTAL(9,E15:E22)</f>
        <v>345</v>
      </c>
      <c r="F23" s="1147">
        <f>IF(ISNUMBER(E23/B23),E23/B23," - ")</f>
        <v>172.5</v>
      </c>
      <c r="G23" s="1146">
        <f>SUBTOTAL(9,G15:G22)</f>
        <v>347</v>
      </c>
      <c r="H23" s="1147">
        <f>IF(ISNUMBER(G23/B23),G23/B23," - ")</f>
        <v>173.5</v>
      </c>
      <c r="I23" s="1146">
        <f>SUBTOTAL(9,I15:I22)</f>
        <v>192</v>
      </c>
      <c r="J23" s="1147">
        <f>IF(ISNUMBER(I23/B23),I23/B23," - ")</f>
        <v>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928</v>
      </c>
      <c r="D31" s="1085" t="str">
        <f>IF(ISNUMBER(C31/Datos!BI31),C31/Datos!BI31," - ")</f>
        <v xml:space="preserve"> - </v>
      </c>
      <c r="E31" s="1084">
        <f>SUBTOTAL(9,E9:E30)</f>
        <v>547</v>
      </c>
      <c r="F31" s="1085">
        <f>IF(ISNUMBER(E31/B31),E31/B31," - ")</f>
        <v>273.5</v>
      </c>
      <c r="G31" s="1084">
        <f>SUBTOTAL(9,G9:G30)</f>
        <v>580</v>
      </c>
      <c r="H31" s="1085">
        <f>IF(ISNUMBER(G31/B31),G31/B31," - ")</f>
        <v>290</v>
      </c>
      <c r="I31" s="1084">
        <f>SUBTOTAL(9,I9:I30)</f>
        <v>895</v>
      </c>
      <c r="J31" s="1085">
        <f>IF(ISNUMBER(I31/B31),I31/B31," - ")</f>
        <v>447.5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zoooK56iedgWIVsm4c/mbDy7I3vOwUQbnDklzfz2X8wOtUZMlojbNJkZdxTkmzX074GoAoY2glOR7JqPVi6ZQ==" saltValue="6j85R2+bfPFhHX5u1Zfb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ALMUÑECAR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73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6.0258620689655169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-2.1808851828094934E-2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95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127</v>
      </c>
      <c r="AE14" s="1257">
        <f t="shared" si="1"/>
        <v>0</v>
      </c>
      <c r="AF14" s="1257">
        <f t="shared" si="1"/>
        <v>4</v>
      </c>
      <c r="AG14" s="1257">
        <f t="shared" si="1"/>
        <v>0</v>
      </c>
      <c r="AH14" s="1257">
        <f t="shared" si="1"/>
        <v>1525</v>
      </c>
      <c r="AI14" s="1257">
        <f t="shared" si="1"/>
        <v>0</v>
      </c>
      <c r="AJ14" s="1257">
        <f t="shared" si="1"/>
        <v>0</v>
      </c>
      <c r="AK14" s="1257">
        <f t="shared" si="1"/>
        <v>0</v>
      </c>
      <c r="AL14" s="1257">
        <f t="shared" si="1"/>
        <v>60</v>
      </c>
      <c r="AM14" s="1257">
        <f t="shared" si="1"/>
        <v>73</v>
      </c>
      <c r="AN14" s="1257">
        <f t="shared" si="1"/>
        <v>0</v>
      </c>
      <c r="AO14" s="1257">
        <f t="shared" si="1"/>
        <v>0</v>
      </c>
      <c r="AP14" s="1262">
        <f>IF(ISNUMBER(((Datos!L14/Datos!K14)*11)/factor_trimestre),((Datos!L14/Datos!K14)*11)/factor_trimestre," - ")</f>
        <v>6.3835616438356162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-2.1808851828094934E-2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1.106628242074928</v>
      </c>
      <c r="AQ23" s="1262">
        <f>IF(ISNUMBER(((Datos!M23/Datos!L23)*11)/factor_trimestre),((Datos!M23/Datos!L23)*11)/factor_trimestre," - ")</f>
        <v>0.73958333333333348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-0.10344827586206896</v>
      </c>
      <c r="AW23" s="1265">
        <f>IF(ISNUMBER((Datos!Q23-Datos!R23)/(Datos!S23-Datos!Q23+Datos!R23)),(Datos!Q23-Datos!R23)/(Datos!S23-Datos!Q23+Datos!R23)," - ")</f>
        <v>-5.7971014492753624E-2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95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127</v>
      </c>
      <c r="AE31" s="1284">
        <f t="shared" si="9"/>
        <v>0</v>
      </c>
      <c r="AF31" s="1285">
        <f t="shared" si="9"/>
        <v>4</v>
      </c>
      <c r="AG31" s="1285">
        <f t="shared" si="9"/>
        <v>0</v>
      </c>
      <c r="AH31" s="1285">
        <f t="shared" si="9"/>
        <v>1525</v>
      </c>
      <c r="AI31" s="1285">
        <f t="shared" si="9"/>
        <v>0</v>
      </c>
      <c r="AJ31" s="1286">
        <f t="shared" si="9"/>
        <v>0</v>
      </c>
      <c r="AK31" s="1286">
        <f t="shared" si="9"/>
        <v>0</v>
      </c>
      <c r="AL31" s="1278">
        <f t="shared" si="9"/>
        <v>60</v>
      </c>
      <c r="AM31" s="1278">
        <f t="shared" si="9"/>
        <v>73</v>
      </c>
      <c r="AN31" s="1278">
        <f t="shared" si="9"/>
        <v>0</v>
      </c>
      <c r="AO31" s="1278">
        <f t="shared" si="9"/>
        <v>0</v>
      </c>
      <c r="AP31" s="1278">
        <f>IF(ISNUMBER(((Datos!L31/Datos!K31)*11)/factor_trimestre),((Datos!L31/Datos!K31)*11)/factor_trimestre," - ")</f>
        <v>3.1484098939929335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-2.20125786163522E-2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2.9749160251326421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RuypDaIFjItC3XguQ36VbChA6UIJW6PeGsR8Phj1Y3aBIYFT9Z6hA+OcB2PkvhFUL+U3oPWSP/CeRHMyRji2A==" saltValue="xKI21XPWA8eyRK39FF6+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ALMUÑECAR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vDLk1aVhkj+0ZbRF7eFGoCfVwRBfpQsnCjd9vf1AeejdXKCyjVb0Nfz9rm9snmit8Syr6xsr4sIAj1Kx0KKRQ==" saltValue="IL65tcJvu6XzhqCzAXd4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ALMUÑECAR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60</v>
      </c>
      <c r="E12" s="452">
        <f t="shared" si="0"/>
        <v>30</v>
      </c>
      <c r="F12" s="451">
        <f>IF(ISNUMBER(Datos!N12),Datos!N12," - ")</f>
        <v>73</v>
      </c>
      <c r="G12" s="452">
        <f t="shared" si="1"/>
        <v>36.5</v>
      </c>
      <c r="H12" s="451">
        <f>IF(ISNUMBER(Datos!O12),Datos!O12," - ")</f>
        <v>111</v>
      </c>
      <c r="I12" s="452">
        <f t="shared" si="2"/>
        <v>55.5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60</v>
      </c>
      <c r="E14" s="1147">
        <f t="shared" si="0"/>
        <v>20</v>
      </c>
      <c r="F14" s="1146">
        <f>SUBTOTAL(9,F9:F13)</f>
        <v>73</v>
      </c>
      <c r="G14" s="1147">
        <f t="shared" si="1"/>
        <v>24.333333333333332</v>
      </c>
      <c r="H14" s="1146">
        <f>SUBTOTAL(9,H9:H13)</f>
        <v>111</v>
      </c>
      <c r="I14" s="1147">
        <f>IF(ISNUMBER(H14/B14),H14/B14," - ")</f>
        <v>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57</v>
      </c>
      <c r="E17" s="452">
        <f t="shared" si="3"/>
        <v>28.5</v>
      </c>
      <c r="F17" s="451">
        <f>IF(ISNUMBER(Datos!N17),Datos!N17," - ")</f>
        <v>210</v>
      </c>
      <c r="G17" s="452">
        <f t="shared" si="4"/>
        <v>105</v>
      </c>
      <c r="H17" s="451">
        <f>IF(ISNUMBER(Datos!O17),Datos!O17," - ")</f>
        <v>6</v>
      </c>
      <c r="I17" s="452">
        <f t="shared" si="5"/>
        <v>3</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71</v>
      </c>
      <c r="E23" s="1147">
        <f t="shared" si="3"/>
        <v>23.666666666666668</v>
      </c>
      <c r="F23" s="1146">
        <f>SUBTOTAL(9,F16:F22)</f>
        <v>230</v>
      </c>
      <c r="G23" s="1147">
        <f t="shared" si="4"/>
        <v>76.666666666666671</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131</v>
      </c>
      <c r="E31" s="1085">
        <f>IF(ISNUMBER(D31/B31),D31/B31," - ")</f>
        <v>65.5</v>
      </c>
      <c r="F31" s="1084">
        <f>SUBTOTAL(9,F8:F30)</f>
        <v>303</v>
      </c>
      <c r="G31" s="1085">
        <f>IF(ISNUMBER(F31/B31),F31/B31," - ")</f>
        <v>151.5</v>
      </c>
      <c r="H31" s="1084">
        <f>SUBTOTAL(9,H8:H30)</f>
        <v>117</v>
      </c>
      <c r="I31" s="1085">
        <f>IF(ISNUMBER(H31/B31),H31/B31," - ")</f>
        <v>58.5</v>
      </c>
    </row>
    <row r="34" spans="1:1">
      <c r="A34" s="439" t="str">
        <f>Criterios!A4</f>
        <v>Fecha Informe: 06 may. 2023</v>
      </c>
    </row>
    <row r="39" spans="1:1">
      <c r="A39" s="462"/>
    </row>
  </sheetData>
  <sheetProtection algorithmName="SHA-512" hashValue="Wa9aC3NSW2T4PpEI74XBxTNiKsSFgAubrYht6X33NqjTA0XkZLtHB++cNmjOYrF0kf3zoP9svTp9dZjeVswvtw==" saltValue="IjxV/Jo0zfMvh7h3nEBr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ALMUÑECAR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93</v>
      </c>
      <c r="C12" s="489">
        <f>IF(ISNUMBER(Datos!Q12),Datos!Q12," - ")</f>
        <v>127</v>
      </c>
      <c r="D12" s="456">
        <f>IF(ISNUMBER(Datos!R12),Datos!R12," - ")</f>
        <v>1525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95</v>
      </c>
      <c r="C14" s="1150">
        <f>SUBTOTAL(9,C9:C13)</f>
        <v>127</v>
      </c>
      <c r="D14" s="1148">
        <f>SUBTOTAL(9,D9:D13)</f>
        <v>1529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6</v>
      </c>
      <c r="D17" s="456">
        <f>IF(ISNUMBER(Datos!R17),Datos!R17," - ")</f>
        <v>26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6</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98</v>
      </c>
      <c r="C31" s="1089">
        <f>SUBTOTAL(9,C8:C30)</f>
        <v>133</v>
      </c>
      <c r="D31" s="1090">
        <f>SUBTOTAL(9,D8:D30)</f>
        <v>1555</v>
      </c>
    </row>
    <row r="32" spans="1:4" ht="7.5" customHeight="1"/>
    <row r="33" spans="1:1" ht="6" customHeight="1"/>
    <row r="34" spans="1:1">
      <c r="A34" s="439" t="str">
        <f>Criterios!A4</f>
        <v>Fecha Informe: 06 may. 2023</v>
      </c>
    </row>
    <row r="39" spans="1:1">
      <c r="A39" s="462"/>
    </row>
  </sheetData>
  <sheetProtection algorithmName="SHA-512" hashValue="uQyzecYycd9A/b+YmeP4o4Lc8vOVrnk9fr9AZHHDOmY9hgaq76QsLS88l5ivpksCp6V6h3NLDcoJQuBFIDGmhg==" saltValue="DdrxeZGI6cq+6Rc3uXKv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ALMUÑECAR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v>
      </c>
      <c r="D10" s="515">
        <f>IF(ISNUMBER((Datos!K10-Datos!U10)/Datos!U10),(Datos!K10-Datos!U10)/Datos!U10," - ")</f>
        <v>-0.83333333333333337</v>
      </c>
      <c r="E10" s="515">
        <f>IF(ISNUMBER((Datos!L10-Datos!V10)/Datos!V10),(Datos!L10-Datos!V10)/Datos!V10," - ")</f>
        <v>-0.42857142857142855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-0.83333333333333337</v>
      </c>
      <c r="I10" s="515">
        <f>IF(ISNUMBER(((NºAsuntos!I10/NºAsuntos!G10)-Datos!BE10)/Datos!BE10),((NºAsuntos!I10/NºAsuntos!G10)-Datos!BE10)/Datos!BE10," - ")</f>
        <v>2.4285714285714284</v>
      </c>
      <c r="J10" s="521">
        <f>IF(ISNUMBER((('Resol  Asuntos'!D10/NºAsuntos!G10)-Datos!BF10)/Datos!BF10),(('Resol  Asuntos'!D10/NºAsuntos!G10)-Datos!BF10)/Datos!BF10," - ")</f>
        <v>-1</v>
      </c>
      <c r="K10" s="522">
        <f>IF(ISNUMBER((((NºAsuntos!C10+NºAsuntos!E10)/NºAsuntos!G10)-Datos!BG10)/Datos!BG10),(((NºAsuntos!C10+NºAsuntos!E10)/NºAsuntos!G10)-Datos!BG10)/Datos!BG10," - ")</f>
        <v>1.3076923076923079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-0.18435754189944134</v>
      </c>
      <c r="C12" s="515">
        <f>IF(ISNUMBER(
   IF(J_V="SI",(Datos!J12-Datos!T12)/Datos!T12,(Datos!J12+Datos!Z12-(Datos!T12+Datos!AH12))/(Datos!T12+Datos!AH12))
     ),IF(J_V="SI",(Datos!J12-Datos!T12)/Datos!T12,(Datos!J12+Datos!Z12-(Datos!T12+Datos!AH12))/(Datos!T12+Datos!AH12))," - ")</f>
        <v>9.2391304347826081E-2</v>
      </c>
      <c r="D12" s="515">
        <f>IF(ISNUMBER(
   IF(J_V="SI",(Datos!K12-Datos!U12)/Datos!U12,(Datos!K12+Datos!AA12-(Datos!U12+Datos!AI12))/(Datos!U12+Datos!AI12))
     ),IF(J_V="SI",(Datos!K12-Datos!U12)/Datos!U12,(Datos!K12+Datos!AA12-(Datos!U12+Datos!AI12))/(Datos!U12+Datos!AI12))," - ")</f>
        <v>0.20833333333333334</v>
      </c>
      <c r="E12" s="515">
        <f>IF(ISNUMBER(
   IF(J_V="SI",(Datos!L12-Datos!V12)/Datos!V12,(Datos!L12+Datos!AB12-(Datos!V12+Datos!AJ12))/(Datos!V12+Datos!AJ12))
     ),IF(J_V="SI",(Datos!L12-Datos!V12)/Datos!V12,(Datos!L12+Datos!AB12-(Datos!V12+Datos!AJ12))/(Datos!V12+Datos!AJ12))," - ")</f>
        <v>-0.28307692307692306</v>
      </c>
      <c r="F12" s="515">
        <f>IF(ISNUMBER((Datos!M12-Datos!W12)/Datos!W12),(Datos!M12-Datos!W12)/Datos!W12," - ")</f>
        <v>0.46341463414634149</v>
      </c>
      <c r="G12" s="516">
        <f>IF(ISNUMBER((Datos!N12-Datos!X12)/Datos!X12),(Datos!N12-Datos!X12)/Datos!X12," - ")</f>
        <v>-2.6666666666666668E-2</v>
      </c>
      <c r="H12" s="514">
        <f>IF(ISNUMBER(((NºAsuntos!G12/NºAsuntos!E12)-Datos!BD12)/Datos!BD12),((NºAsuntos!G12/NºAsuntos!E12)-Datos!BD12)/Datos!BD12," - ")</f>
        <v>0.10613598673300176</v>
      </c>
      <c r="I12" s="515">
        <f>IF(ISNUMBER(((NºAsuntos!I12/NºAsuntos!G12)-Datos!BE12)/Datos!BE12),((NºAsuntos!I12/NºAsuntos!G12)-Datos!BE12)/Datos!BE12," - ")</f>
        <v>-0.40668435013262605</v>
      </c>
      <c r="J12" s="521">
        <f>IF(ISNUMBER((('Resol  Asuntos'!D12/NºAsuntos!G12)-Datos!BF12)/Datos!BF12),(('Resol  Asuntos'!D12/NºAsuntos!G12)-Datos!BF12)/Datos!BF12," - ")</f>
        <v>-0.33793103448275857</v>
      </c>
      <c r="K12" s="522">
        <f>IF(ISNUMBER((((NºAsuntos!C12+NºAsuntos!E12)/NºAsuntos!G12)-Datos!BG12)/Datos!BG12),(((NºAsuntos!C12+NºAsuntos!E12)/NºAsuntos!G12)-Datos!BG12)/Datos!BG12," - ")</f>
        <v>-0.28592886133392986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-0.19073869900771775</v>
      </c>
      <c r="C14" s="1152">
        <f>IF(ISNUMBER(
   IF(J_V="SI",(Datos!J14-Datos!T14)/Datos!T14,(Datos!J14+Datos!Z14-(Datos!T14+Datos!AH14))/(Datos!T14+Datos!AH14))
     ),IF(J_V="SI",(Datos!J14-Datos!T14)/Datos!T14,(Datos!J14+Datos!Z14-(Datos!T14+Datos!AH14))/(Datos!T14+Datos!AH14))," - ")</f>
        <v>9.1891891891891897E-2</v>
      </c>
      <c r="D14" s="1152">
        <f>IF(ISNUMBER(
   IF(J_V="SI",(Datos!K14-Datos!U14)/Datos!U14,(Datos!K14+Datos!AA14-(Datos!U14+Datos!AI14))/(Datos!U14+Datos!AI14))
     ),IF(J_V="SI",(Datos!K14-Datos!U14)/Datos!U14,(Datos!K14+Datos!AA14-(Datos!U14+Datos!AI14))/(Datos!U14+Datos!AI14))," - ")</f>
        <v>0.17676767676767677</v>
      </c>
      <c r="E14" s="1152">
        <f>IF(ISNUMBER(
   IF(J_V="SI",(Datos!L14-Datos!V14)/Datos!V14,(Datos!L14+Datos!AB14-(Datos!V14+Datos!AJ14))/(Datos!V14+Datos!AJ14))
     ),IF(J_V="SI",(Datos!L14-Datos!V14)/Datos!V14,(Datos!L14+Datos!AB14-(Datos!V14+Datos!AJ14))/(Datos!V14+Datos!AJ14))," - ")</f>
        <v>-0.28411405295315684</v>
      </c>
      <c r="F14" s="1153">
        <f>IF(ISNUMBER((Datos!M14-Datos!W14)/Datos!W14),(Datos!M14-Datos!W14)/Datos!W14," - ")</f>
        <v>0.33333333333333331</v>
      </c>
      <c r="G14" s="1154">
        <f>IF(ISNUMBER((Datos!N14-Datos!X14)/Datos!X14),(Datos!N14-Datos!X14)/Datos!X14," - ")</f>
        <v>-2.6666666666666668E-2</v>
      </c>
      <c r="H14" s="1154">
        <f>IF(ISNUMBER(((NºAsuntos!G14/NºAsuntos!E14)-Datos!BD14)/Datos!BD14),((NºAsuntos!G14/NºAsuntos!E14)-Datos!BD14)/Datos!BD14," - ")</f>
        <v>7.7732773277327707E-2</v>
      </c>
      <c r="I14" s="1154">
        <f>IF(ISNUMBER(((NºAsuntos!I14/NºAsuntos!G14)-Datos!BE14)/Datos!BE14),((NºAsuntos!I14/NºAsuntos!G14)-Datos!BE14)/Datos!BE14," - ")</f>
        <v>-0.39165056860397018</v>
      </c>
      <c r="J14" s="1154">
        <f>IF(ISNUMBER((('Resol  Asuntos'!D14/NºAsuntos!G14)-Datos!BF14)/Datos!BF14),(('Resol  Asuntos'!D14/NºAsuntos!G14)-Datos!BF14)/Datos!BF14," - ")</f>
        <v>-0.35459336122127455</v>
      </c>
      <c r="K14" s="1154">
        <f>IF(ISNUMBER((((NºAsuntos!C14+NºAsuntos!E14)/NºAsuntos!G14)-Datos!BG14)/Datos!BG14),(((NºAsuntos!C14+NºAsuntos!E14)/NºAsuntos!G14)-Datos!BG14)/Datos!BG14," - ")</f>
        <v>-0.27161250766400979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-0.4098360655737705</v>
      </c>
      <c r="C17" s="515">
        <f>IF(ISNUMBER(
   IF(D_I="SI",(Datos!J17-Datos!T17)/Datos!T17,(Datos!J17+Datos!AD17-(Datos!T17+Datos!AL17))/(Datos!T17+Datos!AL17))
     ),IF(D_I="SI",(Datos!J17-Datos!T17)/Datos!T17,(Datos!J17+Datos!AD17-(Datos!T17+Datos!AL17))/(Datos!T17+Datos!AL17))," - ")</f>
        <v>-0.17142857142857143</v>
      </c>
      <c r="D17" s="515">
        <f>IF(ISNUMBER(
   IF(D_I="SI",(Datos!K17-Datos!U17)/Datos!U17,(Datos!K17+Datos!AE17-(Datos!U17+Datos!AM17))/(Datos!U17+Datos!AM17))
     ),IF(D_I="SI",(Datos!K17-Datos!U17)/Datos!U17,(Datos!K17+Datos!AE17-(Datos!U17+Datos!AM17))/(Datos!U17+Datos!AM17))," - ")</f>
        <v>-0.25119617224880381</v>
      </c>
      <c r="E17" s="515">
        <f>IF(ISNUMBER(
   IF(D_I="SI",(Datos!L17-Datos!V17)/Datos!V17,(Datos!L17+Datos!AF17-(Datos!V17+Datos!AN17))/(Datos!V17+Datos!AN17))
     ),IF(D_I="SI",(Datos!L17-Datos!V17)/Datos!V17,(Datos!L17+Datos!AF17-(Datos!V17+Datos!AN17))/(Datos!V17+Datos!AN17))," - ")</f>
        <v>-0.31617647058823528</v>
      </c>
      <c r="F17" s="515">
        <f>IF(ISNUMBER((Datos!M17-Datos!W17)/Datos!W17),(Datos!M17-Datos!W17)/Datos!W17," - ")</f>
        <v>0.35714285714285715</v>
      </c>
      <c r="G17" s="516">
        <f>IF(ISNUMBER((Datos!N17-Datos!X17)/Datos!X17),(Datos!N17-Datos!X17)/Datos!X17," - ")</f>
        <v>-0.26829268292682928</v>
      </c>
      <c r="H17" s="514">
        <f>IF(ISNUMBER(((NºAsuntos!G17/NºAsuntos!E17)-Datos!BD17)/Datos!BD17),((NºAsuntos!G17/NºAsuntos!E17)-Datos!BD17)/Datos!BD17," - ")</f>
        <v>-9.6271242369245918E-2</v>
      </c>
      <c r="I17" s="515">
        <f>IF(ISNUMBER(((NºAsuntos!I17/NºAsuntos!G17)-Datos!BE17)/Datos!BE17),((NºAsuntos!I17/NºAsuntos!G17)-Datos!BE17)/Datos!BE17," - ")</f>
        <v>-8.6778800977259929E-2</v>
      </c>
      <c r="J17" s="521">
        <f>IF(ISNUMBER((('Resol  Asuntos'!D17/NºAsuntos!G17)-Datos!BF17)/Datos!BF17),(('Resol  Asuntos'!D17/NºAsuntos!G17)-Datos!BF17)/Datos!BF17," - ")</f>
        <v>0.81241442263806496</v>
      </c>
      <c r="K17" s="522">
        <f>IF(ISNUMBER((((NºAsuntos!C17+NºAsuntos!E17)/NºAsuntos!G17)-Datos!BG17)/Datos!BG17),(((NºAsuntos!C17+NºAsuntos!E17)/NºAsuntos!G17)-Datos!BG17)/Datos!BG17," - ")</f>
        <v>-3.4208454877992386E-2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-8.1081081081081086E-2</v>
      </c>
      <c r="E18" s="515">
        <f>IF(ISNUMBER(
   IF(D_I="SI",(Datos!L18-Datos!V18)/Datos!V18,(Datos!L18+Datos!AF18-(Datos!V18+Datos!AN18))/(Datos!V18+Datos!AN18))
     ),IF(D_I="SI",(Datos!L18-Datos!V18)/Datos!V18,(Datos!L18+Datos!AF18-(Datos!V18+Datos!AN18))/(Datos!V18+Datos!AN18))," - ")</f>
        <v>-0.72727272727272729</v>
      </c>
      <c r="F18" s="515">
        <f>IF(ISNUMBER((Datos!M18-Datos!W18)/Datos!W18),(Datos!M18-Datos!W18)/Datos!W18," - ")</f>
        <v>1</v>
      </c>
      <c r="G18" s="516">
        <f>IF(ISNUMBER((Datos!N18-Datos!X18)/Datos!X18),(Datos!N18-Datos!X18)/Datos!X18," - ")</f>
        <v>-0.2857142857142857</v>
      </c>
      <c r="H18" s="514">
        <f>IF(ISNUMBER(((NºAsuntos!G18/NºAsuntos!E18)-Datos!BD18)/Datos!BD18),((NºAsuntos!G18/NºAsuntos!E18)-Datos!BD18)/Datos!BD18," - ")</f>
        <v>0.37837837837837845</v>
      </c>
      <c r="I18" s="515">
        <f>IF(ISNUMBER(((NºAsuntos!I18/NºAsuntos!G18)-Datos!BE18)/Datos!BE18),((NºAsuntos!I18/NºAsuntos!G18)-Datos!BE18)/Datos!BE18," - ")</f>
        <v>-0.70320855614973254</v>
      </c>
      <c r="J18" s="521">
        <f>IF(ISNUMBER((('Resol  Asuntos'!D18/NºAsuntos!G18)-Datos!BF18)/Datos!BF18),(('Resol  Asuntos'!D18/NºAsuntos!G18)-Datos!BF18)/Datos!BF18," - ")</f>
        <v>1.1764705882352939</v>
      </c>
      <c r="K18" s="522">
        <f>IF(ISNUMBER((((NºAsuntos!C18+NºAsuntos!E18)/NºAsuntos!G18)-Datos!BG18)/Datos!BG18),(((NºAsuntos!C18+NºAsuntos!E18)/NºAsuntos!G18)-Datos!BG18)/Datos!BG18," - ")</f>
        <v>-0.2622133599202392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-0.40307692307692305</v>
      </c>
      <c r="C23" s="1152">
        <f>IF(ISNUMBER(
   IF(Criterios!B14="SI",(Datos!J23-Datos!T23)/Datos!T23,(Datos!J23+Datos!AD23-(Datos!T23+Datos!AL23))/(Datos!T23+Datos!AL23))
     ),IF(Criterios!B14="SI",(Datos!J23-Datos!T23)/Datos!T23,(Datos!J23+Datos!AD23-(Datos!T23+Datos!AL23))/(Datos!T23+Datos!AL23))," - ")</f>
        <v>-0.18632075471698112</v>
      </c>
      <c r="D23" s="1152">
        <f>IF(ISNUMBER(
   IF(Criterios!B14="SI",(Datos!K23-Datos!U23)/Datos!U23,(Datos!K23+Datos!AE23-(Datos!U23+Datos!AM23))/(Datos!U23+Datos!AM23))
     ),IF(Criterios!B14="SI",(Datos!K23-Datos!U23)/Datos!U23,(Datos!K23+Datos!AE23-(Datos!U23+Datos!AM23))/(Datos!U23+Datos!AM23))," - ")</f>
        <v>-0.23736263736263735</v>
      </c>
      <c r="E23" s="1152">
        <f>IF(ISNUMBER(
   IF(Criterios!B14="SI",(Datos!L23-Datos!V23)/Datos!V23,(Datos!L23+Datos!AF23-(Datos!V23+Datos!AN23))/(Datos!V23+Datos!AN23))
     ),IF(Criterios!B14="SI",(Datos!L23-Datos!V23)/Datos!V23,(Datos!L23+Datos!AF23-(Datos!V23+Datos!AN23))/(Datos!V23+Datos!AN23))," - ")</f>
        <v>-0.34693877551020408</v>
      </c>
      <c r="F23" s="1153">
        <f>IF(ISNUMBER((Datos!M23-Datos!W23)/Datos!W23),(Datos!M23-Datos!W23)/Datos!W23," - ")</f>
        <v>0.44897959183673469</v>
      </c>
      <c r="G23" s="1154">
        <f>IF(ISNUMBER((Datos!N23-Datos!X23)/Datos!X23),(Datos!N23-Datos!X23)/Datos!X23," - ")</f>
        <v>-0.26984126984126983</v>
      </c>
      <c r="H23" s="1154">
        <f>IF(ISNUMBER(((NºAsuntos!G23/NºAsuntos!E23)-Datos!BD23)/Datos!BD23),((NºAsuntos!G23/NºAsuntos!E23)-Datos!BD23)/Datos!BD23," - ")</f>
        <v>-6.2729734034082024E-2</v>
      </c>
      <c r="I23" s="1154">
        <f>IF(ISNUMBER(((NºAsuntos!I23/NºAsuntos!G23)-Datos!BE23)/Datos!BE23),((NºAsuntos!I23/NºAsuntos!G23)-Datos!BE23)/Datos!BE23," - ")</f>
        <v>-0.14368052696582953</v>
      </c>
      <c r="J23" s="1154">
        <f>IF(ISNUMBER((('Resol  Asuntos'!D23/NºAsuntos!G23)-Datos!BF23)/Datos!BF23),(('Resol  Asuntos'!D23/NºAsuntos!G23)-Datos!BF23)/Datos!BF23," - ")</f>
        <v>0.89995883079456562</v>
      </c>
      <c r="K23" s="1154">
        <f>IF(ISNUMBER((((NºAsuntos!C23+NºAsuntos!E23)/NºAsuntos!G23)-Datos!BG23)/Datos!BG23),(((NºAsuntos!C23+NºAsuntos!E23)/NºAsuntos!G23)-Datos!BG23)/Datos!BG23," - ")</f>
        <v>-5.6397963855746178E-2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-0.24675324675324675</v>
      </c>
      <c r="C31" s="1092">
        <f>IF(ISNUMBER(
   IF(J_V="SI",(Datos!J31-Datos!T31)/Datos!T31,(Datos!J31+Datos!Z31-(Datos!T31+Datos!AH31))/(Datos!T31+Datos!AH31))
     ),IF(J_V="SI",(Datos!J31-Datos!T31)/Datos!T31,(Datos!J31+Datos!Z31-(Datos!T31+Datos!AH31))/(Datos!T31+Datos!AH31))," - ")</f>
        <v>-0.10180623973727422</v>
      </c>
      <c r="D31" s="1092">
        <f>IF(ISNUMBER(
   IF(J_V="SI",(Datos!K31-Datos!U31)/Datos!U31,(Datos!K31+Datos!AA31-(Datos!U31+Datos!AI31))/(Datos!U31+Datos!AI31))
     ),IF(J_V="SI",(Datos!K31-Datos!U31)/Datos!U31,(Datos!K31+Datos!AA31-(Datos!U31+Datos!AI31))/(Datos!U31+Datos!AI31))," - ")</f>
        <v>-0.11179173047473201</v>
      </c>
      <c r="E31" s="1092">
        <f>IF(ISNUMBER(
   IF(J_V="SI",(Datos!L31-Datos!V31)/Datos!V31,(Datos!L31+Datos!AB31-(Datos!V31+Datos!AJ31))/(Datos!V31+Datos!AJ31))
     ),IF(J_V="SI",(Datos!L31-Datos!V31)/Datos!V31,(Datos!L31+Datos!AB31-(Datos!V31+Datos!AJ31))/(Datos!V31+Datos!AJ31))," - ")</f>
        <v>-0.29858934169278994</v>
      </c>
      <c r="F31" s="1093">
        <f>IF(ISNUMBER((Datos!M31-Datos!W31)/Datos!W31),(Datos!M31-Datos!W31)/Datos!W31," - ")</f>
        <v>0.39361702127659576</v>
      </c>
      <c r="G31" s="1094">
        <f>IF(ISNUMBER((Datos!N31-Datos!X31)/Datos!X31),(Datos!N31-Datos!X31)/Datos!X31," - ")</f>
        <v>-0.22307692307692309</v>
      </c>
      <c r="H31" s="1095">
        <f>IF(ISNUMBER((Tasas!B31-Datos!BD31)/Datos!BD31),(Tasas!B31-Datos!BD31)/Datos!BD31," - ")</f>
        <v>-1.1117301387772859E-2</v>
      </c>
      <c r="I31" s="1096">
        <f>IF(ISNUMBER((Tasas!C31-Datos!BE31)/Datos!BE31),(Tasas!C31-Datos!BE31)/Datos!BE31," - ")</f>
        <v>-0.21030834504377904</v>
      </c>
      <c r="J31" s="1097">
        <f>IF(ISNUMBER((Tasas!D31-Datos!BF31)/Datos!BF31),(Tasas!D31-Datos!BF31)/Datos!BF31," - ")</f>
        <v>0.15224946120689653</v>
      </c>
      <c r="K31" s="1097">
        <f>IF(ISNUMBER((Tasas!E31-Datos!BG31)/Datos!BG31),(Tasas!E31-Datos!BG31)/Datos!BG31," - ")</f>
        <v>-9.7964936597426486E-2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MJQNGGeQKd4+jsT/XbofQCAd70hxpyc8AlgsI9Qomlq693ZZ1PKIF3Dohf5lYe+SHGdNb7yrV7U10EfHdShxA==" saltValue="7MQLUfjNjtjsLn4ZLnxv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ALMUÑECAR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v>
      </c>
      <c r="D10" s="499">
        <f>IF(ISNUMBER('Resol  Asuntos'!D10/NºAsuntos!G10),'Resol  Asuntos'!D10/NºAsuntos!G10," - ")</f>
        <v>0</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1.1542288557213931</v>
      </c>
      <c r="C12" s="498">
        <f>IF(ISNUMBER(NºAsuntos!I12/NºAsuntos!G12),NºAsuntos!I12/NºAsuntos!G12," - ")</f>
        <v>3.0129310344827585</v>
      </c>
      <c r="D12" s="499">
        <f>IF(ISNUMBER('Resol  Asuntos'!D12/NºAsuntos!G12),'Resol  Asuntos'!D12/NºAsuntos!G12," - ")</f>
        <v>0.25862068965517243</v>
      </c>
      <c r="E12" s="500">
        <f>IF(ISNUMBER((NºAsuntos!C12+NºAsuntos!E12)/NºAsuntos!G12),(NºAsuntos!C12+NºAsuntos!E12)/NºAsuntos!G12," - ")</f>
        <v>4.0129310344827589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1.1534653465346534</v>
      </c>
      <c r="C14" s="1156">
        <f>IF(ISNUMBER(NºAsuntos!I14/NºAsuntos!G14),NºAsuntos!I14/NºAsuntos!G14," - ")</f>
        <v>3.0171673819742488</v>
      </c>
      <c r="D14" s="1157">
        <f>IF(ISNUMBER('Resol  Asuntos'!D14/NºAsuntos!G14),'Resol  Asuntos'!D14/NºAsuntos!G14," - ")</f>
        <v>0.25751072961373389</v>
      </c>
      <c r="E14" s="1158">
        <f>IF(ISNUMBER((NºAsuntos!C14+NºAsuntos!E14)/NºAsuntos!G14),(NºAsuntos!C14+NºAsuntos!E14)/NºAsuntos!G14," - ")</f>
        <v>4.0171673819742493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0.98119122257053293</v>
      </c>
      <c r="C17" s="498">
        <f>IF(ISNUMBER(NºAsuntos!I17/NºAsuntos!G17),NºAsuntos!I17/NºAsuntos!G17," - ")</f>
        <v>0.59424920127795522</v>
      </c>
      <c r="D17" s="499">
        <f>IF(ISNUMBER('Resol  Asuntos'!D17/NºAsuntos!G17),'Resol  Asuntos'!D17/NºAsuntos!G17," - ")</f>
        <v>0.18210862619808307</v>
      </c>
      <c r="E17" s="500">
        <f>IF(ISNUMBER((NºAsuntos!C17+NºAsuntos!E17)/NºAsuntos!G17),(NºAsuntos!C17+NºAsuntos!E17)/NºAsuntos!G17," - ")</f>
        <v>1.5942492012779552</v>
      </c>
      <c r="G17" s="523"/>
    </row>
    <row r="18" spans="1:7">
      <c r="A18" s="450" t="str">
        <f>Datos!A18</f>
        <v>Jdos. Violencia contra la mujer</v>
      </c>
      <c r="B18" s="497">
        <f>IF(ISNUMBER(NºAsuntos!G18/NºAsuntos!E18),NºAsuntos!G18/NºAsuntos!E18," - ")</f>
        <v>1.3076923076923077</v>
      </c>
      <c r="C18" s="498">
        <f>IF(ISNUMBER(NºAsuntos!I18/NºAsuntos!G18),NºAsuntos!I18/NºAsuntos!G18," - ")</f>
        <v>0.17647058823529413</v>
      </c>
      <c r="D18" s="499">
        <f>IF(ISNUMBER('Resol  Asuntos'!D18/NºAsuntos!G18),'Resol  Asuntos'!D18/NºAsuntos!G18," - ")</f>
        <v>0.41176470588235292</v>
      </c>
      <c r="E18" s="500">
        <f>IF(ISNUMBER((NºAsuntos!C18+NºAsuntos!E18)/NºAsuntos!G18),(NºAsuntos!C18+NºAsuntos!E18)/NºAsuntos!G18," - ")</f>
        <v>1.1764705882352942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1.0057971014492753</v>
      </c>
      <c r="C23" s="1156">
        <f>IF(ISNUMBER(NºAsuntos!I23/NºAsuntos!G23),NºAsuntos!I23/NºAsuntos!G23," - ")</f>
        <v>0.55331412103746402</v>
      </c>
      <c r="D23" s="1159">
        <f>IF(ISNUMBER('Resol  Asuntos'!D23/NºAsuntos!G23),'Resol  Asuntos'!D23/NºAsuntos!G23," - ")</f>
        <v>0.20461095100864554</v>
      </c>
      <c r="E23" s="1158">
        <f>IF(ISNUMBER((NºAsuntos!C23+NºAsuntos!E23)/NºAsuntos!G23),(NºAsuntos!C23+NºAsuntos!E23)/NºAsuntos!G23," - ")</f>
        <v>1.5533141210374639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1.0603290676416819</v>
      </c>
      <c r="C31" s="1099">
        <f>IF(ISNUMBER(NºAsuntos!I31/NºAsuntos!G31),NºAsuntos!I31/NºAsuntos!G31," - ")</f>
        <v>1.5431034482758621</v>
      </c>
      <c r="D31" s="1100">
        <f>IF(ISNUMBER('Resol  Asuntos'!D31/NºAsuntos!G31),'Resol  Asuntos'!D31/NºAsuntos!G31," - ")</f>
        <v>0.22586206896551725</v>
      </c>
      <c r="E31" s="1101">
        <f>IF(ISNUMBER((NºAsuntos!C31+NºAsuntos!E31)/NºAsuntos!G31),(NºAsuntos!C31+NºAsuntos!E31)/NºAsuntos!G31," - ")</f>
        <v>2.5431034482758621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Jzkb+bACkz3XtuXzZpRnDsfaJx/471rw8biTb/d1L8Xfa3/VC0tqoe7rv25d4491AW0sh9pyJ7JvXwhpgidaA==" saltValue="r4l9+5Hmq8JQawS2xZgZ4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ALMUÑECAR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4</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8</v>
      </c>
      <c r="AN10" s="267">
        <f>IF(ISNUMBER('Resol  Asuntos'!D10/NºAsuntos!G10),'Resol  Asuntos'!D10/NºAsuntos!G10," - ")</f>
        <v>0</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127</v>
      </c>
      <c r="Y12" s="374">
        <f t="shared" si="0"/>
        <v>127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1.1542288557213931</v>
      </c>
      <c r="AM12" s="284">
        <f>IF(ISNUMBER(((NºAsuntos!I12/NºAsuntos!G12)*11)/factor_trimestre),((NºAsuntos!I12/NºAsuntos!G12)*11)/factor_trimestre," - ")</f>
        <v>6.0258620689655169</v>
      </c>
      <c r="AN12" s="267">
        <f>IF(ISNUMBER('Resol  Asuntos'!D12/NºAsuntos!G12),'Resol  Asuntos'!D12/NºAsuntos!G12," - ")</f>
        <v>0.25862068965517243</v>
      </c>
      <c r="AO12" s="268">
        <f>IF(ISNUMBER((NºAsuntos!C12+NºAsuntos!E12)/NºAsuntos!G12),(NºAsuntos!C12+NºAsuntos!E12)/NºAsuntos!G12," - ")</f>
        <v>4.0129310344827589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127</v>
      </c>
      <c r="Y14" s="1165">
        <f t="shared" si="6"/>
        <v>128</v>
      </c>
      <c r="Z14" s="1165">
        <f t="shared" si="6"/>
        <v>0</v>
      </c>
      <c r="AA14" s="1165">
        <f t="shared" si="6"/>
        <v>4</v>
      </c>
      <c r="AB14" s="1165">
        <f t="shared" si="6"/>
        <v>1529</v>
      </c>
      <c r="AC14" s="1165">
        <f t="shared" si="6"/>
        <v>8</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1.1534653465346534</v>
      </c>
      <c r="AM14" s="1171">
        <f>IF(ISNUMBER(((NºAsuntos!I14/NºAsuntos!G14)*11)/factor_trimestre),((NºAsuntos!I14/NºAsuntos!G14)*11)/factor_trimestre," - ")</f>
        <v>6.0343347639484968</v>
      </c>
      <c r="AN14" s="1172">
        <f>IF(ISNUMBER('Resol  Asuntos'!D14/NºAsuntos!G14),'Resol  Asuntos'!D14/NºAsuntos!G14," - ")</f>
        <v>0.25751072961373389</v>
      </c>
      <c r="AO14" s="1173">
        <f>IF(ISNUMBER((NºAsuntos!C14+NºAsuntos!E14)/NºAsuntos!G14),(NºAsuntos!C14+NºAsuntos!E14)/NºAsuntos!G14," - ")</f>
        <v>4.0171673819742493</v>
      </c>
      <c r="AP14" s="1174" t="str">
        <f t="shared" si="2"/>
        <v xml:space="preserve"> - </v>
      </c>
      <c r="AQ14" s="1174">
        <f>IF(ISNUMBER((H14-W14+K14)/(F14)),(H14-W14+K14)/(F14)," - ")</f>
        <v>-0.25</v>
      </c>
      <c r="AR14" s="1175">
        <f>IF(ISNUMBER((Datos!P14-Datos!Q14)/(Datos!R14-Datos!P14+Datos!Q14)),(Datos!P14-Datos!Q14)/(Datos!R14-Datos!P14+Datos!Q14)," - ")</f>
        <v>-2.0499679692504803E-2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180</v>
      </c>
      <c r="G17" s="373">
        <f>IF(ISNUMBER(IF(D_I="SI",Datos!I17,Datos!I17+Datos!AC17)),IF(D_I="SI",Datos!I17,Datos!I17+Datos!AC17)," - ")</f>
        <v>180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313</v>
      </c>
      <c r="X17" s="240">
        <f>IF(ISNUMBER(Datos!Q17),Datos!Q17," - ")</f>
        <v>6</v>
      </c>
      <c r="Y17" s="374">
        <f t="shared" ref="Y17:Y22" si="9">SUM(W17:X17)</f>
        <v>319</v>
      </c>
      <c r="Z17" s="375" t="str">
        <f>IF(ISNUMBER(Datos!CC17),Datos!CC17," - ")</f>
        <v xml:space="preserve"> - </v>
      </c>
      <c r="AA17" s="372">
        <f>IF(ISNUMBER(IF(D_I="SI",Datos!L17,Datos!L17+Datos!AF17)),IF(D_I="SI",Datos!L17,Datos!L17+Datos!AF17)," - ")</f>
        <v>186</v>
      </c>
      <c r="AB17" s="374">
        <f>IF(ISNUMBER(Datos!R17),Datos!R17," - ")</f>
        <v>26</v>
      </c>
      <c r="AC17" s="374">
        <f t="shared" si="8"/>
        <v>212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v>
      </c>
      <c r="AJ17" s="245" t="str">
        <f>IF(ISNUMBER(Datos!BW17),Datos!BW17," - ")</f>
        <v xml:space="preserve"> - </v>
      </c>
      <c r="AK17" s="246" t="str">
        <f>IF(ISNUMBER(Datos!BX17),Datos!BX17," - ")</f>
        <v xml:space="preserve"> - </v>
      </c>
      <c r="AL17" s="266">
        <f>IF(ISNUMBER(NºAsuntos!G17/NºAsuntos!E17),NºAsuntos!G17/NºAsuntos!E17," - ")</f>
        <v>0.98119122257053293</v>
      </c>
      <c r="AM17" s="284">
        <f>IF(ISNUMBER(((NºAsuntos!I17/NºAsuntos!G17)*11)/factor_trimestre),((NºAsuntos!I17/NºAsuntos!G17)*11)/factor_trimestre," - ")</f>
        <v>1.1884984025559104</v>
      </c>
      <c r="AN17" s="267">
        <f>IF(ISNUMBER('Resol  Asuntos'!D17/NºAsuntos!G17),'Resol  Asuntos'!D17/NºAsuntos!G17," - ")</f>
        <v>0.18210862619808307</v>
      </c>
      <c r="AO17" s="268">
        <f>IF(ISNUMBER((NºAsuntos!C17+NºAsuntos!E17)/NºAsuntos!G17),(NºAsuntos!C17+NºAsuntos!E17)/NºAsuntos!G17," - ")</f>
        <v>1.5942492012779552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6</v>
      </c>
      <c r="AB18" s="374">
        <f>IF(ISNUMBER(Datos!R18),Datos!R18," - ")</f>
        <v>0</v>
      </c>
      <c r="AC18" s="374">
        <f t="shared" si="8"/>
        <v>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1.3076923076923077</v>
      </c>
      <c r="AM18" s="284">
        <f>IF(ISNUMBER(((NºAsuntos!I18/NºAsuntos!G18)*11)/factor_trimestre),((NºAsuntos!I18/NºAsuntos!G18)*11)/factor_trimestre," - ")</f>
        <v>0.35294117647058826</v>
      </c>
      <c r="AN18" s="267">
        <f>IF(ISNUMBER('Resol  Asuntos'!D18/NºAsuntos!G18),'Resol  Asuntos'!D18/NºAsuntos!G18," - ")</f>
        <v>0.41176470588235292</v>
      </c>
      <c r="AO18" s="268">
        <f>IF(ISNUMBER((NºAsuntos!C18+NºAsuntos!E18)/NºAsuntos!G18),(NºAsuntos!C18+NºAsuntos!E18)/NºAsuntos!G18," - ")</f>
        <v>1.1764705882352942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180</v>
      </c>
      <c r="G23" s="1163">
        <f>SUBTOTAL(9,G16:G22)</f>
        <v>194</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347</v>
      </c>
      <c r="X23" s="1164">
        <f t="shared" si="14"/>
        <v>6</v>
      </c>
      <c r="Y23" s="1165">
        <f t="shared" si="14"/>
        <v>353</v>
      </c>
      <c r="Z23" s="1165">
        <f t="shared" si="14"/>
        <v>0</v>
      </c>
      <c r="AA23" s="1165">
        <f t="shared" si="14"/>
        <v>192</v>
      </c>
      <c r="AB23" s="1165">
        <f t="shared" si="14"/>
        <v>26</v>
      </c>
      <c r="AC23" s="1165">
        <f t="shared" si="14"/>
        <v>218</v>
      </c>
      <c r="AD23" s="1165">
        <f t="shared" si="14"/>
        <v>0</v>
      </c>
      <c r="AE23" s="1169">
        <f t="shared" si="14"/>
        <v>0</v>
      </c>
      <c r="AF23" s="1162">
        <f t="shared" si="14"/>
        <v>0</v>
      </c>
      <c r="AG23" s="1170">
        <f t="shared" si="14"/>
        <v>0</v>
      </c>
      <c r="AH23" s="1167">
        <f t="shared" si="14"/>
        <v>0</v>
      </c>
      <c r="AI23" s="1162">
        <f t="shared" si="14"/>
        <v>71</v>
      </c>
      <c r="AJ23" s="1164">
        <f t="shared" si="14"/>
        <v>0</v>
      </c>
      <c r="AK23" s="1167">
        <f t="shared" si="14"/>
        <v>0</v>
      </c>
      <c r="AL23" s="1171">
        <f>IF(ISNUMBER(NºAsuntos!G23/NºAsuntos!E23),NºAsuntos!G23/NºAsuntos!E23," - ")</f>
        <v>1.0057971014492753</v>
      </c>
      <c r="AM23" s="1171">
        <f>IF(ISNUMBER(((NºAsuntos!I23/NºAsuntos!G23)*11)/factor_trimestre),((NºAsuntos!I23/NºAsuntos!G23)*11)/factor_trimestre," - ")</f>
        <v>1.106628242074928</v>
      </c>
      <c r="AN23" s="1172">
        <f>IF(ISNUMBER('Resol  Asuntos'!D23/NºAsuntos!G23),'Resol  Asuntos'!D23/NºAsuntos!G23," - ")</f>
        <v>0.20461095100864554</v>
      </c>
      <c r="AO23" s="1173">
        <f>IF(ISNUMBER((NºAsuntos!C23+NºAsuntos!E23)/NºAsuntos!G23),(NºAsuntos!C23+NºAsuntos!E23)/NºAsuntos!G23," - ")</f>
        <v>1.5533141210374639</v>
      </c>
      <c r="AP23" s="1174" t="str">
        <f t="shared" si="2"/>
        <v xml:space="preserve"> - </v>
      </c>
      <c r="AQ23" s="1174">
        <f>IF(ISNUMBER((H23-W23+K23)/(F23)),(H23-W23+K23)/(F23)," - ")</f>
        <v>-1.9277777777777778</v>
      </c>
      <c r="AR23" s="1175">
        <f>IF(ISNUMBER((Datos!P23-Datos!Q23)/(Datos!R23-Datos!P23+Datos!Q23)),(Datos!P23-Datos!Q23)/(Datos!R23-Datos!P23+Datos!Q23)," - ")</f>
        <v>-0.10344827586206896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184</v>
      </c>
      <c r="G31" s="1118">
        <f t="shared" si="20"/>
        <v>198</v>
      </c>
      <c r="H31" s="1117">
        <f t="shared" si="20"/>
        <v>0</v>
      </c>
      <c r="I31" s="1119">
        <f t="shared" si="20"/>
        <v>0</v>
      </c>
      <c r="J31" s="1119">
        <f t="shared" si="20"/>
        <v>0</v>
      </c>
      <c r="K31" s="1180">
        <f t="shared" si="20"/>
        <v>0</v>
      </c>
      <c r="L31" s="1119">
        <f t="shared" si="20"/>
        <v>98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348</v>
      </c>
      <c r="X31" s="1118">
        <f t="shared" si="21"/>
        <v>133</v>
      </c>
      <c r="Y31" s="1125">
        <f t="shared" si="21"/>
        <v>481</v>
      </c>
      <c r="Z31" s="1125">
        <f t="shared" si="21"/>
        <v>0</v>
      </c>
      <c r="AA31" s="1125">
        <f t="shared" si="21"/>
        <v>196</v>
      </c>
      <c r="AB31" s="1125">
        <f t="shared" si="21"/>
        <v>1555</v>
      </c>
      <c r="AC31" s="1125">
        <f t="shared" si="21"/>
        <v>226</v>
      </c>
      <c r="AD31" s="1125">
        <f t="shared" si="21"/>
        <v>0</v>
      </c>
      <c r="AE31" s="1127">
        <f t="shared" si="21"/>
        <v>0</v>
      </c>
      <c r="AF31" s="1128">
        <f t="shared" si="21"/>
        <v>0</v>
      </c>
      <c r="AG31" s="1129">
        <f t="shared" si="21"/>
        <v>0</v>
      </c>
      <c r="AH31" s="1127">
        <f t="shared" si="21"/>
        <v>0</v>
      </c>
      <c r="AI31" s="1117">
        <f t="shared" si="21"/>
        <v>131</v>
      </c>
      <c r="AJ31" s="1117">
        <f t="shared" si="21"/>
        <v>0</v>
      </c>
      <c r="AK31" s="1127">
        <f t="shared" si="21"/>
        <v>0</v>
      </c>
      <c r="AL31" s="1183">
        <f>IF(ISNUMBER(NºAsuntos!G31/NºAsuntos!E31),NºAsuntos!G31/NºAsuntos!E31," - ")</f>
        <v>1.0603290676416819</v>
      </c>
      <c r="AM31" s="1184">
        <f>IF(ISNUMBER(((NºAsuntos!I31/NºAsuntos!G31)*11)/factor_trimestre),((NºAsuntos!I31/NºAsuntos!G31)*11)/factor_trimestre," - ")</f>
        <v>3.0862068965517242</v>
      </c>
      <c r="AN31" s="1184">
        <f>IF(ISNUMBER('Resol  Asuntos'!D31/NºAsuntos!G31),'Resol  Asuntos'!D31/NºAsuntos!G31," - ")</f>
        <v>0.22586206896551725</v>
      </c>
      <c r="AO31" s="1185">
        <f>IF(ISNUMBER((NºAsuntos!C31+NºAsuntos!E31)/NºAsuntos!G31),(NºAsuntos!C31+NºAsuntos!E31)/NºAsuntos!G31," - ")</f>
        <v>2.5431034482758621</v>
      </c>
      <c r="AP31" s="1186" t="str">
        <f t="shared" si="2"/>
        <v xml:space="preserve"> - </v>
      </c>
      <c r="AQ31" s="1187">
        <f>IF(OR(ISNUMBER(FIND("01",Criterios!A8,1)),ISNUMBER(FIND("02",Criterios!A8,1)),ISNUMBER(FIND("03",Criterios!A8,1)),ISNUMBER(FIND("04",Criterios!A8,1))),(I31-W31+K31)/(F31-K31),(H31-W31+K31)/(F31-K31))</f>
        <v>-1.8913043478260869</v>
      </c>
      <c r="AR31" s="1188">
        <f>IF(ISNUMBER((Datos!P31-Datos!Q31)/(Datos!R31-Datos!P31+Datos!Q31)),(Datos!P31-Datos!Q31)/(Datos!R31-Datos!P31+Datos!Q31)," - ")</f>
        <v>-2.20125786163522E-2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91.936209768875429</v>
      </c>
      <c r="G33" s="277">
        <f>IF(ISNUMBER(STDEV(G8:G30)),STDEV(G8:G30),"-")</f>
        <v>89.313786063252195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158.28966816447323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31.860185633034668</v>
      </c>
      <c r="AJ33" s="276">
        <f t="shared" si="25"/>
        <v>0</v>
      </c>
      <c r="AK33" s="278">
        <f t="shared" si="25"/>
        <v>0</v>
      </c>
      <c r="AL33" s="273">
        <f t="shared" si="25"/>
        <v>0.12800326438368223</v>
      </c>
      <c r="AM33" s="274">
        <f t="shared" si="25"/>
        <v>3.2723605479188205</v>
      </c>
      <c r="AN33" s="274">
        <f t="shared" si="25"/>
        <v>0.133970192347661</v>
      </c>
      <c r="AO33" s="275">
        <f t="shared" si="25"/>
        <v>1.6361802739594102</v>
      </c>
      <c r="AP33" s="317" t="str">
        <f t="shared" si="25"/>
        <v>-</v>
      </c>
      <c r="AQ33" s="318">
        <f t="shared" si="25"/>
        <v>1.1863680439907629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L+/d2L1zf/zhn6efLVU+LoKyNH0cefpTOD7JTxeh5VL+aPexUfCTpDZ0lNTSfTAFst3HXuCiwSSCWbGgzq58Q==" saltValue="f59BU38XZgtuHP+Y60QV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ALMUÑECAR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v>
      </c>
      <c r="F10" s="393">
        <f>IF(ISNUMBER((Datos!K10-Datos!U10)/Datos!U10),(Datos!K10-Datos!U10)/Datos!U10," - ")</f>
        <v>-0.83333333333333337</v>
      </c>
      <c r="G10" s="394">
        <f>IF(ISNUMBER((Datos!L10-Datos!V10)/Datos!V10),(Datos!L10-Datos!V10)/Datos!V10," - ")</f>
        <v>-0.42857142857142855</v>
      </c>
      <c r="H10" s="244">
        <f>IF(ISNUMBER((Datos!M10-Datos!W10)/Datos!W10),(Datos!M10-Datos!W10)/Datos!W10," - ")</f>
        <v>-1</v>
      </c>
      <c r="I10" s="395">
        <f>IF(ISNUMBER((Tasas!C10-Datos!BE10)/Datos!BE10),(Tasas!C10-Datos!BE10)/Datos!BE10," - ")</f>
        <v>2.4285714285714284</v>
      </c>
      <c r="J10" s="394">
        <f>IF(ISNUMBER((Tasas!D10-Datos!BF10)/Datos!BF10),(Tasas!D10-Datos!BF10)/Datos!BF10," - ")</f>
        <v>-1</v>
      </c>
      <c r="K10" s="396">
        <f>IF(ISNUMBER((Tasas!E10-Datos!BG10)/Datos!BG10),(Tasas!E10-Datos!BG10)/Datos!BG10," - ")</f>
        <v>1.3076923076923079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0.46341463414634149</v>
      </c>
      <c r="I12" s="395">
        <f>IF(ISNUMBER((Tasas!C12-Datos!BE12)/Datos!BE12),(Tasas!C12-Datos!BE12)/Datos!BE12," - ")</f>
        <v>-0.40668435013262605</v>
      </c>
      <c r="J12" s="394">
        <f>IF(ISNUMBER((Tasas!D12-Datos!BF12)/Datos!BF12),(Tasas!D12-Datos!BF12)/Datos!BF12," - ")</f>
        <v>-0.33793103448275857</v>
      </c>
      <c r="K12" s="396">
        <f>IF(ISNUMBER((Tasas!E12-Datos!BG12)/Datos!BG12),(Tasas!E12-Datos!BG12)/Datos!BG12," - ")</f>
        <v>-0.28592886133392986</v>
      </c>
      <c r="M12" t="e">
        <f>IF(Monitorios="SI",Datos!CE12,0)</f>
        <v>#REF!</v>
      </c>
      <c r="N12" t="e">
        <f>IF(Monitorios="SI",Datos!CF12,0)</f>
        <v>#REF!</v>
      </c>
      <c r="O12" t="e">
        <f>IF(Monitorios="SI",Datos!CG12,0)</f>
        <v>#REF!</v>
      </c>
      <c r="P12" t="e">
        <f>IF(Monitorios="SI",Datos!CH12,0)</f>
        <v>#REF!</v>
      </c>
      <c r="Q12">
        <f>IF(J_V="SI",0,Datos!AG12)</f>
        <v>5</v>
      </c>
      <c r="R12">
        <f>IF(J_V="SI",0,Datos!AH12)</f>
        <v>17</v>
      </c>
      <c r="S12">
        <f>IF(J_V="SI",0,Datos!AI12)</f>
        <v>14</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-0.39165056860397018</v>
      </c>
      <c r="J14" s="400">
        <f>IF(ISNUMBER((Tasas!D14-Datos!BF14)/Datos!BF14),(Tasas!D14-Datos!BF14)/Datos!BF14," - ")</f>
        <v>-0.35459336122127455</v>
      </c>
      <c r="K14" s="403">
        <f>IF(ISNUMBER((Tasas!E14-Datos!BG14)/Datos!BG14),(Tasas!E14-Datos!BG14)/Datos!BG14," - ")</f>
        <v>-0.27161250766400979</v>
      </c>
      <c r="M14" t="e">
        <f>IF(Monitorios="SI",Datos!CE14,0)</f>
        <v>#REF!</v>
      </c>
      <c r="N14" t="e">
        <f>IF(Monitorios="SI",Datos!CF14,0)</f>
        <v>#REF!</v>
      </c>
      <c r="O14" t="e">
        <f>IF(Monitorios="SI",Datos!CG14,0)</f>
        <v>#REF!</v>
      </c>
      <c r="P14" t="e">
        <f>IF(Monitorios="SI",Datos!CH14,0)</f>
        <v>#REF!</v>
      </c>
      <c r="Q14">
        <f>IF(J_V="SI",0,Datos!AG14)</f>
        <v>5</v>
      </c>
      <c r="R14">
        <f>IF(J_V="SI",0,Datos!AH14)</f>
        <v>17</v>
      </c>
      <c r="S14">
        <f>IF(J_V="SI",0,Datos!AI14)</f>
        <v>14</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-0.4098360655737705</v>
      </c>
      <c r="E17" s="393">
        <f>IF(ISNUMBER(
   IF(D_I="SI",(Datos!J17-Datos!T17)/Datos!T17,(Datos!J17+Datos!AD17-(Datos!T17+Datos!AL17))/(Datos!T17+Datos!AL17))
     ),IF(D_I="SI",(Datos!J17-Datos!T17)/Datos!T17,(Datos!J17+Datos!AD17-(Datos!T17+Datos!AL17))/(Datos!T17+Datos!AL17))," - ")</f>
        <v>-0.17142857142857143</v>
      </c>
      <c r="F17" s="393">
        <f>IF(ISNUMBER(
   IF(D_I="SI",(Datos!K17-Datos!U17)/Datos!U17,(Datos!K17+Datos!AE17-(Datos!U17+Datos!AM17))/(Datos!U17+Datos!AM17))
     ),IF(D_I="SI",(Datos!K17-Datos!U17)/Datos!U17,(Datos!K17+Datos!AE17-(Datos!U17+Datos!AM17))/(Datos!U17+Datos!AM17))," - ")</f>
        <v>-0.25119617224880381</v>
      </c>
      <c r="G17" s="394">
        <f>IF(ISNUMBER(
   IF(D_I="SI",(Datos!L17-Datos!V17)/Datos!V17,(Datos!L17+Datos!AF17-(Datos!V17+Datos!AN17))/(Datos!V17+Datos!AN17))
     ),IF(D_I="SI",(Datos!L17-Datos!V17)/Datos!V17,(Datos!L17+Datos!AF17-(Datos!V17+Datos!AN17))/(Datos!V17+Datos!AN17))," - ")</f>
        <v>-0.31617647058823528</v>
      </c>
      <c r="H17" s="244">
        <f>IF(ISNUMBER((Datos!M17-Datos!W17)/Datos!W17),(Datos!M17-Datos!W17)/Datos!W17," - ")</f>
        <v>0.35714285714285715</v>
      </c>
      <c r="I17" s="395">
        <f>IF(ISNUMBER((Tasas!C17-Datos!BE17)/Datos!BE17),(Tasas!C17-Datos!BE17)/Datos!BE17," - ")</f>
        <v>-8.6778800977259929E-2</v>
      </c>
      <c r="J17" s="394">
        <f>IF(ISNUMBER((Tasas!D17-Datos!BF17)/Datos!BF17),(Tasas!D17-Datos!BF17)/Datos!BF17," - ")</f>
        <v>0.81241442263806496</v>
      </c>
      <c r="K17" s="396">
        <f>IF(ISNUMBER((Tasas!E17-Datos!BG17)/Datos!BG17),(Tasas!E17-Datos!BG17)/Datos!BG17," - ")</f>
        <v>-3.4208454877992386E-2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-8.1081081081081086E-2</v>
      </c>
      <c r="G18" s="394">
        <f>IF(ISNUMBER(
   IF(D_I="SI",(Datos!L18-Datos!V18)/Datos!V18,(Datos!L18+Datos!AF18-(Datos!V18+Datos!AN18))/(Datos!V18+Datos!AN18))
     ),IF(D_I="SI",(Datos!L18-Datos!V18)/Datos!V18,(Datos!L18+Datos!AF18-(Datos!V18+Datos!AN18))/(Datos!V18+Datos!AN18))," - ")</f>
        <v>-0.72727272727272729</v>
      </c>
      <c r="H18" s="244">
        <f>IF(ISNUMBER((Datos!M18-Datos!W18)/Datos!W18),(Datos!M18-Datos!W18)/Datos!W18," - ")</f>
        <v>1</v>
      </c>
      <c r="I18" s="395">
        <f>IF(ISNUMBER((Tasas!C18-Datos!BE18)/Datos!BE18),(Tasas!C18-Datos!BE18)/Datos!BE18," - ")</f>
        <v>-0.70320855614973254</v>
      </c>
      <c r="J18" s="394">
        <f>IF(ISNUMBER((Tasas!D18-Datos!BF18)/Datos!BF18),(Tasas!D18-Datos!BF18)/Datos!BF18," - ")</f>
        <v>1.1764705882352939</v>
      </c>
      <c r="K18" s="396">
        <f>IF(ISNUMBER((Tasas!E18-Datos!BG18)/Datos!BG18),(Tasas!E18-Datos!BG18)/Datos!BG18," - ")</f>
        <v>-0.2622133599202392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-0.40307692307692305</v>
      </c>
      <c r="E23" s="399">
        <f>IF(ISNUMBER(
   IF(D_I="SI",(Datos!J23-Datos!T23)/Datos!T23,(Datos!J23+Datos!AD23-(Datos!T23+Datos!AL23))/(Datos!T23+Datos!AL23))
     ),IF(D_I="SI",(Datos!J23-Datos!T23)/Datos!T23,(Datos!J23+Datos!AD23-(Datos!T23+Datos!AL23))/(Datos!T23+Datos!AL23))," - ")</f>
        <v>-0.18632075471698112</v>
      </c>
      <c r="F23" s="399">
        <f>IF(ISNUMBER(
   IF(D_I="SI",(Datos!K23-Datos!U23)/Datos!U23,(Datos!K23+Datos!AE23-(Datos!U23+Datos!AM23))/(Datos!U23+Datos!AM23))
     ),IF(D_I="SI",(Datos!K23-Datos!U23)/Datos!U23,(Datos!K23+Datos!AE23-(Datos!U23+Datos!AM23))/(Datos!U23+Datos!AM23))," - ")</f>
        <v>-0.23736263736263735</v>
      </c>
      <c r="G23" s="400">
        <f>IF(ISNUMBER(
   IF(D_I="SI",(Datos!L23-Datos!V23)/Datos!V23,(Datos!L23+Datos!AF23-(Datos!V23+Datos!AN23))/(Datos!V23+Datos!AN23))
     ),IF(D_I="SI",(Datos!L23-Datos!V23)/Datos!V23,(Datos!L23+Datos!AF23-(Datos!V23+Datos!AN23))/(Datos!V23+Datos!AN23))," - ")</f>
        <v>-0.34693877551020408</v>
      </c>
      <c r="H23" s="401">
        <f>IF(ISNUMBER((Datos!M23-Datos!W23)/Datos!W23),(Datos!M23-Datos!W23)/Datos!W23," - ")</f>
        <v>0.44897959183673469</v>
      </c>
      <c r="I23" s="402">
        <f>IF(ISNUMBER((Tasas!C23-Datos!BE23)/Datos!BE23),(Tasas!C23-Datos!BE23)/Datos!BE23," - ")</f>
        <v>-0.14368052696582953</v>
      </c>
      <c r="J23" s="400">
        <f>IF(ISNUMBER((Tasas!D23-Datos!BF23)/Datos!BF23),(Tasas!D23-Datos!BF23)/Datos!BF23," - ")</f>
        <v>0.89995883079456562</v>
      </c>
      <c r="K23" s="403">
        <f>IF(ISNUMBER((Tasas!E23-Datos!BG23)/Datos!BG23),(Tasas!E23-Datos!BG23)/Datos!BG23," - ")</f>
        <v>-5.6397963855746178E-2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-0.24675324675324675</v>
      </c>
      <c r="E31" s="409">
        <f>IF(ISNUMBER(
   IF(J_V="SI",(Datos!J31-Datos!T31)/Datos!T31,(Datos!J31+Datos!Z31-(Datos!T31+Datos!AH31))/(Datos!T31+Datos!AH31))
     ),IF(J_V="SI",(Datos!J31-Datos!T31)/Datos!T31,(Datos!J31+Datos!Z31-(Datos!T31+Datos!AH31))/(Datos!T31+Datos!AH31))," - ")</f>
        <v>-0.10180623973727422</v>
      </c>
      <c r="F31" s="409">
        <f>IF(ISNUMBER(
   IF(J_V="SI",(Datos!K31-Datos!U31)/Datos!U31,(Datos!K31+Datos!AA31-(Datos!U31+Datos!AI31))/(Datos!U31+Datos!AI31))
     ),IF(J_V="SI",(Datos!K31-Datos!U31)/Datos!U31,(Datos!K31+Datos!AA31-(Datos!U31+Datos!AI31))/(Datos!U31+Datos!AI31))," - ")</f>
        <v>-0.11179173047473201</v>
      </c>
      <c r="G31" s="410">
        <f>IF(ISNUMBER(
   IF(J_V="SI",(Datos!L31-Datos!V31)/Datos!V31,(Datos!L31+Datos!AB31-(Datos!V31+Datos!AJ31))/(Datos!V31+Datos!AJ31))
     ),IF(J_V="SI",(Datos!L31-Datos!V31)/Datos!V31,(Datos!L31+Datos!AB31-(Datos!V31+Datos!AJ31))/(Datos!V31+Datos!AJ31))," - ")</f>
        <v>-0.29858934169278994</v>
      </c>
      <c r="H31" s="411">
        <f>IF(ISNUMBER((Datos!M31-Datos!W31)/Datos!W31),(Datos!M31-Datos!W31)/Datos!W31," - ")</f>
        <v>0.39361702127659576</v>
      </c>
      <c r="I31" s="408">
        <f>IF(ISNUMBER((Tasas!C31-Datos!BE31)/Datos!BE31),(Tasas!C31-Datos!BE31)/Datos!BE31," - ")</f>
        <v>-0.21030834504377904</v>
      </c>
      <c r="J31" s="409">
        <f>IF(ISNUMBER((Tasas!D31-Datos!BF31)/Datos!BF31),(Tasas!D31-Datos!BF31)/Datos!BF31," - ")</f>
        <v>0.15224946120689653</v>
      </c>
      <c r="K31" s="410">
        <f>IF(ISNUMBER((Tasas!E31-Datos!BG31)/Datos!BG31),(Tasas!E31-Datos!BG31)/Datos!BG31," - ")</f>
        <v>-9.7964936597426486E-2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0.15615709355403212</v>
      </c>
      <c r="E33" s="303">
        <f t="shared" si="1"/>
        <v>0.1364007322724172</v>
      </c>
      <c r="F33" s="303">
        <f t="shared" si="1"/>
        <v>0.33084520947040225</v>
      </c>
      <c r="G33" s="304">
        <f t="shared" si="1"/>
        <v>0.18777631839485504</v>
      </c>
      <c r="H33" s="310">
        <f t="shared" si="1"/>
        <v>0.66735283020095038</v>
      </c>
      <c r="I33" s="302">
        <f t="shared" si="1"/>
        <v>1.1539974406135525</v>
      </c>
      <c r="J33" s="303">
        <f t="shared" si="1"/>
        <v>0.87811501934257541</v>
      </c>
      <c r="K33" s="304">
        <f t="shared" si="1"/>
        <v>0.61844686530651127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1dNsqocr40Co6qNGn8GEHmsZpt7bFzEcOgH/OaddVAsviWvjb/ENejulcNfodzhxrKIYGJtXZcF9QqFCedgXQ==" saltValue="FNeQkInilqNGmiba83uO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